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e/Documents/Energi og Miljø/Masteroppgave/Attachment Master Thesis Julie Sandnes Galaaen/Attachment Julie Sandnes Galaaen/"/>
    </mc:Choice>
  </mc:AlternateContent>
  <xr:revisionPtr revIDLastSave="0" documentId="13_ncr:1_{D90D3A55-6937-2143-9574-40FCA182607A}" xr6:coauthVersionLast="45" xr6:coauthVersionMax="45" xr10:uidLastSave="{00000000-0000-0000-0000-000000000000}"/>
  <bookViews>
    <workbookView xWindow="25620" yWindow="460" windowWidth="38380" windowHeight="19620" activeTab="3" xr2:uid="{DAD71B6D-02A7-AE43-A1E3-CE21BCB38B37}"/>
  </bookViews>
  <sheets>
    <sheet name="Materials cabinets" sheetId="6" r:id="rId1"/>
    <sheet name="Energy" sheetId="2" r:id="rId2"/>
    <sheet name="Infrastructure" sheetId="3" r:id="rId3"/>
    <sheet name="Weight difference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8" l="1"/>
  <c r="C22" i="8"/>
  <c r="C20" i="8"/>
  <c r="H19" i="3"/>
  <c r="C10" i="8" l="1"/>
  <c r="C9" i="8"/>
  <c r="C3" i="8"/>
  <c r="C21" i="8" l="1"/>
  <c r="C17" i="8"/>
  <c r="C11" i="8"/>
  <c r="C14" i="8" s="1"/>
  <c r="C13" i="8"/>
  <c r="C12" i="8"/>
  <c r="C6" i="8"/>
  <c r="C5" i="8"/>
  <c r="C4" i="8"/>
  <c r="C7" i="8" s="1"/>
  <c r="C18" i="8" l="1"/>
  <c r="E21" i="3" l="1"/>
  <c r="C14" i="2"/>
  <c r="C15" i="2"/>
  <c r="C23" i="2"/>
  <c r="H18" i="3" l="1"/>
  <c r="H17" i="3"/>
  <c r="H15" i="3"/>
  <c r="H16" i="3"/>
  <c r="B24" i="6" l="1"/>
  <c r="H14" i="3"/>
  <c r="C22" i="2" l="1"/>
  <c r="C24" i="2" s="1"/>
  <c r="C25" i="2" s="1"/>
  <c r="H20" i="3" l="1"/>
  <c r="B53" i="6" l="1"/>
  <c r="B36" i="6" l="1"/>
  <c r="B33" i="6"/>
  <c r="B30" i="6"/>
  <c r="B27" i="6"/>
  <c r="C64" i="6"/>
  <c r="C63" i="6"/>
  <c r="C62" i="6"/>
  <c r="C61" i="6" l="1"/>
  <c r="G2" i="2"/>
  <c r="G3" i="2" s="1"/>
  <c r="C12" i="2" l="1"/>
  <c r="C16" i="2" s="1"/>
  <c r="C17" i="2" s="1"/>
  <c r="E16" i="3" l="1"/>
  <c r="E17" i="3"/>
  <c r="E19" i="3"/>
  <c r="E13" i="3"/>
  <c r="D15" i="3"/>
  <c r="E15" i="3" s="1"/>
  <c r="D16" i="3"/>
  <c r="D17" i="3"/>
  <c r="D14" i="3"/>
  <c r="D20" i="3" s="1"/>
  <c r="D18" i="3"/>
  <c r="E18" i="3" s="1"/>
  <c r="D13" i="3"/>
  <c r="E20" i="3" l="1"/>
  <c r="E14" i="3"/>
  <c r="C31" i="2"/>
  <c r="C32" i="2" s="1"/>
  <c r="C33" i="2"/>
  <c r="C34" i="2"/>
  <c r="C35" i="2"/>
  <c r="C36" i="2"/>
  <c r="C37" i="2"/>
  <c r="C38" i="2"/>
  <c r="C39" i="2"/>
  <c r="C40" i="2" l="1"/>
  <c r="C4" i="2" l="1"/>
  <c r="C6" i="2" l="1"/>
  <c r="E6" i="2" l="1"/>
  <c r="C7" i="2" s="1"/>
</calcChain>
</file>

<file path=xl/sharedStrings.xml><?xml version="1.0" encoding="utf-8"?>
<sst xmlns="http://schemas.openxmlformats.org/spreadsheetml/2006/main" count="175" uniqueCount="103">
  <si>
    <t>PP plastic</t>
  </si>
  <si>
    <t>CU Copper</t>
  </si>
  <si>
    <t>Fe Iron</t>
  </si>
  <si>
    <t>m2</t>
  </si>
  <si>
    <t>kWh/(m2mnd)</t>
  </si>
  <si>
    <t>kWh/mnd</t>
  </si>
  <si>
    <t>kg</t>
  </si>
  <si>
    <t>Other sources</t>
  </si>
  <si>
    <t xml:space="preserve">Coal </t>
  </si>
  <si>
    <t>Oil</t>
  </si>
  <si>
    <t>Gas</t>
  </si>
  <si>
    <t>Waste</t>
  </si>
  <si>
    <t>Nuclear</t>
  </si>
  <si>
    <t>Hydro</t>
  </si>
  <si>
    <t>Solar PV</t>
  </si>
  <si>
    <t>Wind</t>
  </si>
  <si>
    <t>https://www.iea.org/statistics/?country=ALB&amp;isISO=true</t>
  </si>
  <si>
    <t>KR 3 R540</t>
  </si>
  <si>
    <t>KR 20-3</t>
  </si>
  <si>
    <t>KR 90 R3100 extra</t>
  </si>
  <si>
    <t>KR 210 R2700 extra</t>
  </si>
  <si>
    <t>LBR iiwa 14 R820</t>
  </si>
  <si>
    <t>KR 30-3</t>
  </si>
  <si>
    <t>MiR100</t>
  </si>
  <si>
    <t>SUM</t>
  </si>
  <si>
    <t>kWh</t>
  </si>
  <si>
    <t>kWh/modul</t>
  </si>
  <si>
    <t>Aluminium</t>
  </si>
  <si>
    <t>Total: 137,2</t>
  </si>
  <si>
    <t>BIP</t>
  </si>
  <si>
    <t>kW</t>
  </si>
  <si>
    <t>moduler</t>
  </si>
  <si>
    <t>Battery packaging</t>
  </si>
  <si>
    <t>Control system</t>
  </si>
  <si>
    <t>Battery cell</t>
  </si>
  <si>
    <t>Battery cabinet</t>
  </si>
  <si>
    <t>Galvanised steel</t>
  </si>
  <si>
    <t>Copper</t>
  </si>
  <si>
    <t>Glass fibre</t>
  </si>
  <si>
    <t>Packaging and electronics</t>
  </si>
  <si>
    <t>Panels and doors per cabinet (steel)</t>
  </si>
  <si>
    <t>Total: 164,7</t>
  </si>
  <si>
    <t>Control cabinet with fuses</t>
  </si>
  <si>
    <t>Fuses (8 pc)</t>
  </si>
  <si>
    <t>Lexan (polycarbonate)</t>
  </si>
  <si>
    <t>Electronics</t>
  </si>
  <si>
    <t>Total: 30,4</t>
  </si>
  <si>
    <t>Cooling system</t>
  </si>
  <si>
    <t>Steel</t>
  </si>
  <si>
    <t>After included circuit board</t>
  </si>
  <si>
    <t>Area module factory including buffer storage</t>
  </si>
  <si>
    <t>Area pre-processing components</t>
  </si>
  <si>
    <t>Total area used module</t>
  </si>
  <si>
    <t>Energy consumption</t>
  </si>
  <si>
    <t>Total energy consumption module</t>
  </si>
  <si>
    <t>Energy per module for module production</t>
  </si>
  <si>
    <t>Aggregates</t>
  </si>
  <si>
    <t>Cooling aggregate</t>
  </si>
  <si>
    <t>Power</t>
  </si>
  <si>
    <t>Length of shift</t>
  </si>
  <si>
    <t>Hours per year</t>
  </si>
  <si>
    <t>Module production per year</t>
  </si>
  <si>
    <t>Energy per year</t>
  </si>
  <si>
    <t>Energy per module</t>
  </si>
  <si>
    <t>Laser aggregate</t>
  </si>
  <si>
    <t>Area for battery cabinets</t>
  </si>
  <si>
    <t>Energy per shore battery for battery cabinet</t>
  </si>
  <si>
    <t>kWh/year</t>
  </si>
  <si>
    <t>h</t>
  </si>
  <si>
    <t>kWh/module</t>
  </si>
  <si>
    <t>modules</t>
  </si>
  <si>
    <t>Electricity mix Taiwan</t>
  </si>
  <si>
    <t>PRODUCTION</t>
  </si>
  <si>
    <t>Lifetime factory</t>
  </si>
  <si>
    <t>years</t>
  </si>
  <si>
    <t>Robots:</t>
  </si>
  <si>
    <t>Name</t>
  </si>
  <si>
    <t>Weight per pc [kg]</t>
  </si>
  <si>
    <t>Number</t>
  </si>
  <si>
    <t>Total weight</t>
  </si>
  <si>
    <t>Robot weight per module</t>
  </si>
  <si>
    <t>Lenght of shift</t>
  </si>
  <si>
    <t>Number of shifts per day</t>
  </si>
  <si>
    <t>Number of working days per week</t>
  </si>
  <si>
    <t>Number of weeks in a year</t>
  </si>
  <si>
    <t>Number of modules produced per shift</t>
  </si>
  <si>
    <t>Number of modules produced per year</t>
  </si>
  <si>
    <t>Number of battery packs produced per year</t>
  </si>
  <si>
    <t>Number of battery packs produced during lifetime</t>
  </si>
  <si>
    <t>Number of modules produced during lifetime</t>
  </si>
  <si>
    <t>Number of shore batteries produced per year</t>
  </si>
  <si>
    <t>Number of shore batteries produced during lifetime</t>
  </si>
  <si>
    <t>Share of factory per shore battery</t>
  </si>
  <si>
    <t>Per battery with 8 packs</t>
  </si>
  <si>
    <t>Weight data sheet</t>
  </si>
  <si>
    <t>Calculated weight</t>
  </si>
  <si>
    <t>Difference</t>
  </si>
  <si>
    <t>Cables, copper</t>
  </si>
  <si>
    <t>Cables, plastic</t>
  </si>
  <si>
    <t>From project</t>
  </si>
  <si>
    <t>Per 2 charging stations</t>
  </si>
  <si>
    <t>Per pack</t>
  </si>
  <si>
    <t>Per battery with 7 packs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</si>
</sst>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theme="4" tint="0.59999389629810485"/>
      </left>
      <right/>
      <top style="medium">
        <color theme="4" tint="0.59999389629810485"/>
      </top>
      <bottom/>
      <diagonal/>
    </border>
    <border>
      <left/>
      <right/>
      <top style="medium">
        <color theme="4" tint="0.59999389629810485"/>
      </top>
      <bottom/>
      <diagonal/>
    </border>
    <border>
      <left/>
      <right style="medium">
        <color theme="4" tint="0.59999389629810485"/>
      </right>
      <top style="medium">
        <color theme="4" tint="0.59999389629810485"/>
      </top>
      <bottom/>
      <diagonal/>
    </border>
    <border>
      <left style="medium">
        <color theme="4" tint="0.59999389629810485"/>
      </left>
      <right/>
      <top/>
      <bottom/>
      <diagonal/>
    </border>
    <border>
      <left/>
      <right style="medium">
        <color theme="4" tint="0.59999389629810485"/>
      </right>
      <top/>
      <bottom/>
      <diagonal/>
    </border>
    <border>
      <left style="medium">
        <color theme="4" tint="0.59999389629810485"/>
      </left>
      <right/>
      <top/>
      <bottom style="medium">
        <color theme="4" tint="0.59999389629810485"/>
      </bottom>
      <diagonal/>
    </border>
    <border>
      <left/>
      <right/>
      <top/>
      <bottom style="medium">
        <color theme="4" tint="0.59999389629810485"/>
      </bottom>
      <diagonal/>
    </border>
    <border>
      <left/>
      <right style="medium">
        <color theme="4" tint="0.59999389629810485"/>
      </right>
      <top/>
      <bottom style="medium">
        <color theme="4" tint="0.59999389629810485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0" fontId="0" fillId="0" borderId="0" xfId="0" applyNumberFormat="1"/>
    <xf numFmtId="164" fontId="0" fillId="0" borderId="0" xfId="0" applyNumberFormat="1"/>
    <xf numFmtId="0" fontId="2" fillId="0" borderId="0" xfId="1"/>
    <xf numFmtId="0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0" borderId="0" xfId="0" applyAlignment="1"/>
    <xf numFmtId="0" fontId="0" fillId="0" borderId="0" xfId="0" applyAlignment="1">
      <alignment horizontal="center"/>
    </xf>
  </cellXfs>
  <cellStyles count="2">
    <cellStyle name="Hyperkobling" xfId="1" builtinId="8"/>
    <cellStyle name="Normal" xfId="0" builtinId="0"/>
  </cellStyles>
  <dxfs count="0"/>
  <tableStyles count="0" defaultTableStyle="TableStyleMedium2" defaultPivotStyle="PivotStyleLight16"/>
  <colors>
    <mruColors>
      <color rgb="FF73FB79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ea.org/statistics/?country=ALB&amp;isISO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4F07A-BEDD-C04B-B34C-8A4B65667855}">
  <dimension ref="B3:D64"/>
  <sheetViews>
    <sheetView zoomScale="90" zoomScaleNormal="90" workbookViewId="0">
      <selection activeCell="D53" sqref="D53"/>
    </sheetView>
  </sheetViews>
  <sheetFormatPr baseColWidth="10" defaultColWidth="10.6640625" defaultRowHeight="16"/>
  <cols>
    <col min="2" max="2" width="32.5" bestFit="1" customWidth="1"/>
    <col min="3" max="3" width="25.5" bestFit="1" customWidth="1"/>
    <col min="4" max="4" width="28.1640625" bestFit="1" customWidth="1"/>
    <col min="5" max="5" width="19.33203125" bestFit="1" customWidth="1"/>
    <col min="6" max="6" width="27.83203125" bestFit="1" customWidth="1"/>
  </cols>
  <sheetData>
    <row r="3" spans="2:3">
      <c r="B3" s="1" t="s">
        <v>35</v>
      </c>
      <c r="C3" t="s">
        <v>28</v>
      </c>
    </row>
    <row r="4" spans="2:3">
      <c r="B4" t="s">
        <v>36</v>
      </c>
    </row>
    <row r="5" spans="2:3">
      <c r="B5">
        <v>109.2</v>
      </c>
      <c r="C5" t="s">
        <v>6</v>
      </c>
    </row>
    <row r="7" spans="2:3">
      <c r="B7" t="s">
        <v>37</v>
      </c>
    </row>
    <row r="8" spans="2:3">
      <c r="B8">
        <v>17.899999999999999</v>
      </c>
      <c r="C8" t="s">
        <v>6</v>
      </c>
    </row>
    <row r="10" spans="2:3">
      <c r="B10" t="s">
        <v>27</v>
      </c>
    </row>
    <row r="11" spans="2:3">
      <c r="B11">
        <v>7.6</v>
      </c>
      <c r="C11" t="s">
        <v>6</v>
      </c>
    </row>
    <row r="13" spans="2:3">
      <c r="B13" t="s">
        <v>38</v>
      </c>
    </row>
    <row r="14" spans="2:3">
      <c r="B14">
        <v>1.8</v>
      </c>
      <c r="C14" t="s">
        <v>6</v>
      </c>
    </row>
    <row r="16" spans="2:3">
      <c r="B16" t="s">
        <v>39</v>
      </c>
    </row>
    <row r="17" spans="2:4">
      <c r="B17">
        <v>0.7</v>
      </c>
      <c r="C17" t="s">
        <v>6</v>
      </c>
    </row>
    <row r="19" spans="2:4">
      <c r="B19" t="s">
        <v>40</v>
      </c>
    </row>
    <row r="20" spans="2:4">
      <c r="B20">
        <v>68</v>
      </c>
      <c r="C20" t="s">
        <v>6</v>
      </c>
    </row>
    <row r="22" spans="2:4">
      <c r="B22" s="1" t="s">
        <v>42</v>
      </c>
      <c r="C22" t="s">
        <v>41</v>
      </c>
    </row>
    <row r="23" spans="2:4">
      <c r="B23" t="s">
        <v>36</v>
      </c>
    </row>
    <row r="24" spans="2:4">
      <c r="B24">
        <f>(64.7/163.2)*164.7</f>
        <v>65.294669117647061</v>
      </c>
      <c r="C24">
        <v>65.294669117647103</v>
      </c>
      <c r="D24" t="s">
        <v>6</v>
      </c>
    </row>
    <row r="26" spans="2:4">
      <c r="B26" t="s">
        <v>37</v>
      </c>
    </row>
    <row r="27" spans="2:4">
      <c r="B27">
        <f>(84.1/163.2)*164.7</f>
        <v>84.872977941176472</v>
      </c>
      <c r="C27">
        <v>84.872977941176501</v>
      </c>
      <c r="D27" t="s">
        <v>6</v>
      </c>
    </row>
    <row r="29" spans="2:4">
      <c r="B29" t="s">
        <v>38</v>
      </c>
    </row>
    <row r="30" spans="2:4">
      <c r="B30">
        <f>(3.5/163.2)*164.7</f>
        <v>3.5321691176470584</v>
      </c>
      <c r="C30">
        <v>3.5321691176470602</v>
      </c>
      <c r="D30" t="s">
        <v>6</v>
      </c>
    </row>
    <row r="32" spans="2:4">
      <c r="B32" t="s">
        <v>43</v>
      </c>
    </row>
    <row r="33" spans="2:4">
      <c r="B33">
        <f>(10/163.2)*164.7</f>
        <v>10.091911764705882</v>
      </c>
      <c r="C33">
        <v>10.0919117647059</v>
      </c>
      <c r="D33" t="s">
        <v>6</v>
      </c>
    </row>
    <row r="35" spans="2:4">
      <c r="B35" t="s">
        <v>44</v>
      </c>
    </row>
    <row r="36" spans="2:4">
      <c r="B36">
        <f>(0.9/163.2)*164.7</f>
        <v>0.90827205882352946</v>
      </c>
      <c r="C36">
        <v>0.90827205882352902</v>
      </c>
      <c r="D36" t="s">
        <v>6</v>
      </c>
    </row>
    <row r="42" spans="2:4">
      <c r="B42" s="1" t="s">
        <v>29</v>
      </c>
      <c r="C42" t="s">
        <v>46</v>
      </c>
    </row>
    <row r="43" spans="2:4">
      <c r="B43" t="s">
        <v>36</v>
      </c>
    </row>
    <row r="44" spans="2:4">
      <c r="B44">
        <v>15.9</v>
      </c>
      <c r="C44" t="s">
        <v>6</v>
      </c>
    </row>
    <row r="46" spans="2:4">
      <c r="B46" t="s">
        <v>37</v>
      </c>
    </row>
    <row r="47" spans="2:4">
      <c r="B47">
        <v>0.6</v>
      </c>
      <c r="C47" t="s">
        <v>6</v>
      </c>
    </row>
    <row r="49" spans="2:4">
      <c r="B49" t="s">
        <v>44</v>
      </c>
    </row>
    <row r="50" spans="2:4">
      <c r="B50">
        <v>0.16</v>
      </c>
      <c r="C50" t="s">
        <v>6</v>
      </c>
    </row>
    <row r="52" spans="2:4">
      <c r="B52" t="s">
        <v>45</v>
      </c>
    </row>
    <row r="53" spans="2:4">
      <c r="B53">
        <f>30.4-D42</f>
        <v>30.4</v>
      </c>
      <c r="C53" t="s">
        <v>6</v>
      </c>
    </row>
    <row r="56" spans="2:4">
      <c r="B56" s="1" t="s">
        <v>47</v>
      </c>
    </row>
    <row r="57" spans="2:4">
      <c r="B57" t="s">
        <v>48</v>
      </c>
    </row>
    <row r="58" spans="2:4">
      <c r="B58">
        <v>133</v>
      </c>
      <c r="C58" t="s">
        <v>6</v>
      </c>
    </row>
    <row r="61" spans="2:4">
      <c r="B61" s="1" t="s">
        <v>49</v>
      </c>
      <c r="C61">
        <f>0.67+SUM(C62:C64)</f>
        <v>23.1</v>
      </c>
      <c r="D61" t="s">
        <v>6</v>
      </c>
    </row>
    <row r="62" spans="2:4">
      <c r="B62" t="s">
        <v>0</v>
      </c>
      <c r="C62">
        <f>10.2-0.67*(10.2/(10.2+1.3+11.6))</f>
        <v>9.9041558441558433</v>
      </c>
      <c r="D62" t="s">
        <v>6</v>
      </c>
    </row>
    <row r="63" spans="2:4">
      <c r="B63" t="s">
        <v>1</v>
      </c>
      <c r="C63">
        <f>1.3-0.67*(1.3/(10.2+1.3+11.6))</f>
        <v>1.2622943722943722</v>
      </c>
      <c r="D63" t="s">
        <v>6</v>
      </c>
    </row>
    <row r="64" spans="2:4">
      <c r="B64" t="s">
        <v>2</v>
      </c>
      <c r="C64">
        <f>11.6-0.67*(11.6/(10.2+1.3+11.6))</f>
        <v>11.263549783549783</v>
      </c>
      <c r="D6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4BB30-84EB-BB40-9431-C7F52993AA63}">
  <dimension ref="B2:H51"/>
  <sheetViews>
    <sheetView zoomScaleNormal="90" workbookViewId="0">
      <selection activeCell="F30" sqref="F30"/>
    </sheetView>
  </sheetViews>
  <sheetFormatPr baseColWidth="10" defaultColWidth="10.6640625" defaultRowHeight="16"/>
  <cols>
    <col min="2" max="2" width="49.5" bestFit="1" customWidth="1"/>
    <col min="6" max="6" width="33.33203125" bestFit="1" customWidth="1"/>
  </cols>
  <sheetData>
    <row r="2" spans="2:8">
      <c r="B2" t="s">
        <v>50</v>
      </c>
      <c r="C2">
        <v>775</v>
      </c>
      <c r="D2" t="s">
        <v>3</v>
      </c>
      <c r="F2" t="s">
        <v>65</v>
      </c>
      <c r="G2">
        <f>C2</f>
        <v>775</v>
      </c>
    </row>
    <row r="3" spans="2:8">
      <c r="B3" t="s">
        <v>51</v>
      </c>
      <c r="C3">
        <v>80</v>
      </c>
      <c r="D3" t="s">
        <v>3</v>
      </c>
      <c r="F3" t="s">
        <v>66</v>
      </c>
      <c r="G3">
        <f>G2*C5*12/Infrastructure!H16</f>
        <v>857.48629998304739</v>
      </c>
      <c r="H3" t="s">
        <v>25</v>
      </c>
    </row>
    <row r="4" spans="2:8">
      <c r="B4" t="s">
        <v>52</v>
      </c>
      <c r="C4">
        <f>C2+C3</f>
        <v>855</v>
      </c>
      <c r="D4" t="s">
        <v>3</v>
      </c>
    </row>
    <row r="5" spans="2:8">
      <c r="B5" t="s">
        <v>53</v>
      </c>
      <c r="C5">
        <v>9.8000000000000007</v>
      </c>
      <c r="D5" t="s">
        <v>4</v>
      </c>
    </row>
    <row r="6" spans="2:8">
      <c r="B6" t="s">
        <v>54</v>
      </c>
      <c r="C6">
        <f>C5*C4</f>
        <v>8379</v>
      </c>
      <c r="D6" t="s">
        <v>5</v>
      </c>
      <c r="E6">
        <f>C6*12</f>
        <v>100548</v>
      </c>
      <c r="F6" t="s">
        <v>67</v>
      </c>
    </row>
    <row r="7" spans="2:8">
      <c r="B7" t="s">
        <v>55</v>
      </c>
      <c r="C7">
        <f>E6/Infrastructure!H14</f>
        <v>3.503707462296322</v>
      </c>
      <c r="D7" t="s">
        <v>25</v>
      </c>
    </row>
    <row r="10" spans="2:8">
      <c r="B10" s="1" t="s">
        <v>56</v>
      </c>
    </row>
    <row r="11" spans="2:8">
      <c r="B11" t="s">
        <v>57</v>
      </c>
    </row>
    <row r="12" spans="2:8">
      <c r="B12" t="s">
        <v>58</v>
      </c>
      <c r="C12">
        <f>(8.1+11.4)/2</f>
        <v>9.75</v>
      </c>
      <c r="D12" t="s">
        <v>30</v>
      </c>
    </row>
    <row r="13" spans="2:8">
      <c r="B13" t="s">
        <v>59</v>
      </c>
      <c r="C13">
        <v>8</v>
      </c>
      <c r="D13" t="s">
        <v>68</v>
      </c>
    </row>
    <row r="14" spans="2:8">
      <c r="B14" t="s">
        <v>60</v>
      </c>
      <c r="C14">
        <f>C13*2*5*Infrastructure!H12</f>
        <v>4174.1965599999994</v>
      </c>
      <c r="D14" t="s">
        <v>68</v>
      </c>
    </row>
    <row r="15" spans="2:8">
      <c r="B15" t="s">
        <v>61</v>
      </c>
      <c r="C15">
        <f>Infrastructure!H14</f>
        <v>28697.601349999997</v>
      </c>
      <c r="D15" t="s">
        <v>31</v>
      </c>
    </row>
    <row r="16" spans="2:8">
      <c r="B16" t="s">
        <v>62</v>
      </c>
      <c r="C16">
        <f>C12*C14</f>
        <v>40698.416459999993</v>
      </c>
      <c r="D16" t="s">
        <v>25</v>
      </c>
    </row>
    <row r="17" spans="2:7">
      <c r="B17" t="s">
        <v>63</v>
      </c>
      <c r="C17">
        <f>C16/C15</f>
        <v>1.418181818181818</v>
      </c>
      <c r="D17" t="s">
        <v>26</v>
      </c>
    </row>
    <row r="18" spans="2:7">
      <c r="B18" s="4"/>
    </row>
    <row r="19" spans="2:7">
      <c r="B19" t="s">
        <v>64</v>
      </c>
      <c r="C19" s="2"/>
    </row>
    <row r="20" spans="2:7">
      <c r="B20" t="s">
        <v>58</v>
      </c>
      <c r="C20" s="5">
        <v>5</v>
      </c>
      <c r="D20" t="s">
        <v>30</v>
      </c>
    </row>
    <row r="21" spans="2:7">
      <c r="B21" t="s">
        <v>59</v>
      </c>
      <c r="C21" s="5">
        <v>8</v>
      </c>
      <c r="D21" t="s">
        <v>68</v>
      </c>
    </row>
    <row r="22" spans="2:7">
      <c r="B22" t="s">
        <v>60</v>
      </c>
      <c r="C22" s="5">
        <f>C21*2*5*Infrastructure!H12</f>
        <v>4174.1965599999994</v>
      </c>
      <c r="D22" t="s">
        <v>68</v>
      </c>
    </row>
    <row r="23" spans="2:7">
      <c r="B23" t="s">
        <v>61</v>
      </c>
      <c r="C23" s="5">
        <f>Infrastructure!H14</f>
        <v>28697.601349999997</v>
      </c>
      <c r="D23" t="s">
        <v>70</v>
      </c>
    </row>
    <row r="24" spans="2:7">
      <c r="B24" t="s">
        <v>62</v>
      </c>
      <c r="C24" s="5">
        <f>C20*C22</f>
        <v>20870.982799999998</v>
      </c>
      <c r="D24" t="s">
        <v>25</v>
      </c>
    </row>
    <row r="25" spans="2:7">
      <c r="B25" t="s">
        <v>63</v>
      </c>
      <c r="C25" s="5">
        <f>C24/C23</f>
        <v>0.72727272727272729</v>
      </c>
      <c r="D25" t="s">
        <v>69</v>
      </c>
    </row>
    <row r="26" spans="2:7">
      <c r="C26" s="2"/>
    </row>
    <row r="27" spans="2:7">
      <c r="C27" s="2"/>
    </row>
    <row r="28" spans="2:7">
      <c r="C28" s="2"/>
    </row>
    <row r="30" spans="2:7">
      <c r="B30" s="4" t="s">
        <v>16</v>
      </c>
      <c r="C30" s="1" t="s">
        <v>71</v>
      </c>
      <c r="F30" s="4"/>
      <c r="G30" s="1"/>
    </row>
    <row r="31" spans="2:7">
      <c r="B31" t="s">
        <v>7</v>
      </c>
      <c r="C31" s="2">
        <f>D31/D40</f>
        <v>4.2100556994094742E-4</v>
      </c>
      <c r="D31">
        <v>113</v>
      </c>
      <c r="G31" s="2"/>
    </row>
    <row r="32" spans="2:7">
      <c r="B32" t="s">
        <v>8</v>
      </c>
      <c r="C32" s="3">
        <f>(D32/$D$40)+C31</f>
        <v>0.46958141614351445</v>
      </c>
      <c r="D32">
        <v>125925</v>
      </c>
      <c r="G32" s="3"/>
    </row>
    <row r="33" spans="2:7">
      <c r="B33" t="s">
        <v>9</v>
      </c>
      <c r="C33" s="3">
        <f t="shared" ref="C33:C39" si="0">D33/$D$40</f>
        <v>4.8579571915575347E-2</v>
      </c>
      <c r="D33">
        <v>13039</v>
      </c>
      <c r="G33" s="3"/>
    </row>
    <row r="34" spans="2:7">
      <c r="B34" t="s">
        <v>10</v>
      </c>
      <c r="C34" s="3">
        <f t="shared" si="0"/>
        <v>0.34025074048546039</v>
      </c>
      <c r="D34">
        <v>91325</v>
      </c>
      <c r="G34" s="3"/>
    </row>
    <row r="35" spans="2:7">
      <c r="B35" t="s">
        <v>11</v>
      </c>
      <c r="C35" s="3">
        <f t="shared" si="0"/>
        <v>1.249976714293698E-2</v>
      </c>
      <c r="D35">
        <v>3355</v>
      </c>
      <c r="G35" s="3"/>
    </row>
    <row r="36" spans="2:7">
      <c r="B36" t="s">
        <v>12</v>
      </c>
      <c r="C36" s="3">
        <f t="shared" si="0"/>
        <v>8.3627354184907132E-2</v>
      </c>
      <c r="D36">
        <v>22446</v>
      </c>
      <c r="G36" s="3"/>
    </row>
    <row r="37" spans="2:7">
      <c r="B37" t="s">
        <v>13</v>
      </c>
      <c r="C37" s="3">
        <f t="shared" si="0"/>
        <v>3.2711760213110785E-2</v>
      </c>
      <c r="D37">
        <v>8780</v>
      </c>
      <c r="G37" s="3"/>
    </row>
    <row r="38" spans="2:7">
      <c r="B38" t="s">
        <v>14</v>
      </c>
      <c r="C38" s="3">
        <f t="shared" si="0"/>
        <v>6.3039064100892305E-3</v>
      </c>
      <c r="D38">
        <v>1692</v>
      </c>
      <c r="G38" s="3"/>
    </row>
    <row r="39" spans="2:7">
      <c r="B39" t="s">
        <v>15</v>
      </c>
      <c r="C39" s="3">
        <f t="shared" si="0"/>
        <v>6.4492092174139827E-3</v>
      </c>
      <c r="D39">
        <v>1731</v>
      </c>
      <c r="G39" s="3"/>
    </row>
    <row r="40" spans="2:7">
      <c r="B40" s="1" t="s">
        <v>72</v>
      </c>
      <c r="C40" s="2">
        <f>SUM(C32:C39)</f>
        <v>1.0000037257130083</v>
      </c>
      <c r="D40">
        <v>268405</v>
      </c>
      <c r="F40" s="1"/>
      <c r="G40" s="2"/>
    </row>
    <row r="42" spans="2:7">
      <c r="C42" s="2"/>
    </row>
    <row r="43" spans="2:7">
      <c r="C43" s="3"/>
    </row>
    <row r="44" spans="2:7">
      <c r="C44" s="3"/>
    </row>
    <row r="45" spans="2:7">
      <c r="C45" s="3"/>
    </row>
    <row r="46" spans="2:7">
      <c r="C46" s="3"/>
    </row>
    <row r="47" spans="2:7">
      <c r="C47" s="3"/>
    </row>
    <row r="48" spans="2:7">
      <c r="C48" s="3"/>
    </row>
    <row r="49" spans="3:3">
      <c r="C49" s="3"/>
    </row>
    <row r="50" spans="3:3">
      <c r="C50" s="3"/>
    </row>
    <row r="51" spans="3:3">
      <c r="C51" s="2"/>
    </row>
  </sheetData>
  <hyperlinks>
    <hyperlink ref="B30" r:id="rId1" xr:uid="{1DE1C646-B5EA-D641-A3FA-914F9D7119A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5A9BD-87C0-EA44-8390-B8A3196F8E46}">
  <dimension ref="B2:I32"/>
  <sheetViews>
    <sheetView zoomScale="83" workbookViewId="0">
      <selection activeCell="F3" sqref="F3"/>
    </sheetView>
  </sheetViews>
  <sheetFormatPr baseColWidth="10" defaultColWidth="10.6640625" defaultRowHeight="16"/>
  <cols>
    <col min="2" max="2" width="25" bestFit="1" customWidth="1"/>
    <col min="3" max="3" width="14.5" bestFit="1" customWidth="1"/>
    <col min="5" max="5" width="23.5" bestFit="1" customWidth="1"/>
    <col min="6" max="6" width="12.1640625" bestFit="1" customWidth="1"/>
    <col min="7" max="7" width="30.33203125" bestFit="1" customWidth="1"/>
    <col min="8" max="8" width="11.6640625" bestFit="1" customWidth="1"/>
  </cols>
  <sheetData>
    <row r="2" spans="2:9">
      <c r="B2" t="s">
        <v>73</v>
      </c>
      <c r="C2">
        <v>5</v>
      </c>
      <c r="D2" t="s">
        <v>74</v>
      </c>
    </row>
    <row r="3" spans="2:9">
      <c r="G3" s="6"/>
      <c r="H3" s="6"/>
    </row>
    <row r="4" spans="2:9">
      <c r="G4" s="6"/>
      <c r="H4" s="6"/>
    </row>
    <row r="5" spans="2:9">
      <c r="G5" s="6"/>
      <c r="H5" s="6"/>
    </row>
    <row r="8" spans="2:9" ht="17" thickBot="1"/>
    <row r="9" spans="2:9">
      <c r="G9" s="7" t="s">
        <v>81</v>
      </c>
      <c r="H9" s="8">
        <v>8</v>
      </c>
      <c r="I9" s="9" t="s">
        <v>68</v>
      </c>
    </row>
    <row r="10" spans="2:9">
      <c r="G10" s="10" t="s">
        <v>82</v>
      </c>
      <c r="H10" s="6">
        <v>2</v>
      </c>
      <c r="I10" s="11"/>
    </row>
    <row r="11" spans="2:9">
      <c r="B11" s="1" t="s">
        <v>75</v>
      </c>
      <c r="G11" s="10" t="s">
        <v>83</v>
      </c>
      <c r="H11" s="6">
        <v>5</v>
      </c>
      <c r="I11" s="11"/>
    </row>
    <row r="12" spans="2:9" ht="17">
      <c r="B12" t="s">
        <v>76</v>
      </c>
      <c r="C12" t="s">
        <v>77</v>
      </c>
      <c r="D12" t="s">
        <v>78</v>
      </c>
      <c r="E12" t="s">
        <v>79</v>
      </c>
      <c r="G12" s="12" t="s">
        <v>84</v>
      </c>
      <c r="H12" s="13">
        <v>52.177456999999997</v>
      </c>
      <c r="I12" s="14"/>
    </row>
    <row r="13" spans="2:9" ht="34">
      <c r="B13" t="s">
        <v>17</v>
      </c>
      <c r="C13">
        <v>26.5</v>
      </c>
      <c r="D13">
        <f>1</f>
        <v>1</v>
      </c>
      <c r="E13">
        <f>C13*D13</f>
        <v>26.5</v>
      </c>
      <c r="G13" s="12" t="s">
        <v>85</v>
      </c>
      <c r="H13" s="13">
        <v>55</v>
      </c>
      <c r="I13" s="14"/>
    </row>
    <row r="14" spans="2:9" ht="34">
      <c r="B14" t="s">
        <v>18</v>
      </c>
      <c r="C14">
        <v>254</v>
      </c>
      <c r="D14">
        <f>1+1+1+1</f>
        <v>4</v>
      </c>
      <c r="E14">
        <f t="shared" ref="E14:E19" si="0">C14*D14</f>
        <v>1016</v>
      </c>
      <c r="G14" s="12" t="s">
        <v>86</v>
      </c>
      <c r="H14" s="13">
        <f>H13*H10*H11*H12</f>
        <v>28697.601349999997</v>
      </c>
      <c r="I14" s="14"/>
    </row>
    <row r="15" spans="2:9" ht="34">
      <c r="B15" t="s">
        <v>19</v>
      </c>
      <c r="C15">
        <v>1092</v>
      </c>
      <c r="D15">
        <f>1</f>
        <v>1</v>
      </c>
      <c r="E15">
        <f t="shared" si="0"/>
        <v>1092</v>
      </c>
      <c r="G15" s="12" t="s">
        <v>87</v>
      </c>
      <c r="H15" s="13">
        <f>H14/9</f>
        <v>3188.6223722222221</v>
      </c>
      <c r="I15" s="14"/>
    </row>
    <row r="16" spans="2:9" ht="34">
      <c r="B16" t="s">
        <v>20</v>
      </c>
      <c r="C16">
        <v>1068</v>
      </c>
      <c r="D16">
        <f>1</f>
        <v>1</v>
      </c>
      <c r="E16">
        <f t="shared" si="0"/>
        <v>1068</v>
      </c>
      <c r="G16" s="12" t="s">
        <v>90</v>
      </c>
      <c r="H16" s="13">
        <f>H15/(8*2+7*2)</f>
        <v>106.2874124074074</v>
      </c>
      <c r="I16" s="14"/>
    </row>
    <row r="17" spans="2:9" ht="34">
      <c r="B17" t="s">
        <v>21</v>
      </c>
      <c r="C17">
        <v>29.9</v>
      </c>
      <c r="D17">
        <f>1+1+1</f>
        <v>3</v>
      </c>
      <c r="E17">
        <f t="shared" si="0"/>
        <v>89.699999999999989</v>
      </c>
      <c r="G17" s="12" t="s">
        <v>91</v>
      </c>
      <c r="H17" s="13">
        <f>H16*C2</f>
        <v>531.43706203703698</v>
      </c>
      <c r="I17" s="14"/>
    </row>
    <row r="18" spans="2:9" ht="17">
      <c r="B18" t="s">
        <v>22</v>
      </c>
      <c r="C18">
        <v>635</v>
      </c>
      <c r="D18">
        <f>1</f>
        <v>1</v>
      </c>
      <c r="E18">
        <f t="shared" si="0"/>
        <v>635</v>
      </c>
      <c r="G18" s="12" t="s">
        <v>92</v>
      </c>
      <c r="H18" s="6">
        <f>1/H17</f>
        <v>1.8816903664319669E-3</v>
      </c>
      <c r="I18" s="11"/>
    </row>
    <row r="19" spans="2:9" ht="34">
      <c r="B19" t="s">
        <v>23</v>
      </c>
      <c r="C19">
        <v>65</v>
      </c>
      <c r="D19">
        <v>5</v>
      </c>
      <c r="E19">
        <f t="shared" si="0"/>
        <v>325</v>
      </c>
      <c r="G19" s="12" t="s">
        <v>88</v>
      </c>
      <c r="H19" s="6">
        <f>H17*30</f>
        <v>15943.111861111109</v>
      </c>
      <c r="I19" s="11"/>
    </row>
    <row r="20" spans="2:9" ht="35" thickBot="1">
      <c r="B20" t="s">
        <v>24</v>
      </c>
      <c r="D20">
        <f>SUM(D13:D19)</f>
        <v>16</v>
      </c>
      <c r="E20">
        <f>SUM(E13:E19)</f>
        <v>4252.2</v>
      </c>
      <c r="G20" s="15" t="s">
        <v>89</v>
      </c>
      <c r="H20" s="16">
        <f>H19*9</f>
        <v>143488.00674999997</v>
      </c>
      <c r="I20" s="17"/>
    </row>
    <row r="21" spans="2:9">
      <c r="B21" s="1" t="s">
        <v>80</v>
      </c>
      <c r="E21">
        <f>E20/H20</f>
        <v>2.9634532504229667E-2</v>
      </c>
    </row>
    <row r="23" spans="2:9">
      <c r="E23" s="2"/>
    </row>
    <row r="24" spans="2:9">
      <c r="E24" s="2"/>
    </row>
    <row r="25" spans="2:9">
      <c r="E25" s="2"/>
    </row>
    <row r="26" spans="2:9">
      <c r="E26" s="2"/>
    </row>
    <row r="27" spans="2:9">
      <c r="E27" s="2"/>
    </row>
    <row r="28" spans="2:9">
      <c r="E28" s="2"/>
    </row>
    <row r="29" spans="2:9">
      <c r="E29" s="2"/>
    </row>
    <row r="30" spans="2:9">
      <c r="E30" s="2"/>
    </row>
    <row r="32" spans="2:9">
      <c r="E32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50FB4-1A66-9746-9A76-824F2BF50BFA}">
  <dimension ref="B1:K22"/>
  <sheetViews>
    <sheetView tabSelected="1" workbookViewId="0">
      <selection activeCell="B9" sqref="B9"/>
    </sheetView>
  </sheetViews>
  <sheetFormatPr baseColWidth="10" defaultRowHeight="16"/>
  <cols>
    <col min="2" max="2" width="16" bestFit="1" customWidth="1"/>
  </cols>
  <sheetData>
    <row r="1" spans="2:11">
      <c r="B1" s="19" t="s">
        <v>93</v>
      </c>
      <c r="C1" s="19"/>
      <c r="D1" s="19"/>
      <c r="I1" s="18"/>
      <c r="J1" s="18"/>
      <c r="K1" s="18"/>
    </row>
    <row r="2" spans="2:11">
      <c r="B2" t="s">
        <v>94</v>
      </c>
      <c r="C2">
        <v>6950</v>
      </c>
      <c r="D2" t="s">
        <v>6</v>
      </c>
      <c r="I2" s="18"/>
      <c r="J2" s="18"/>
      <c r="K2" s="18"/>
    </row>
    <row r="3" spans="2:11">
      <c r="B3" t="s">
        <v>95</v>
      </c>
      <c r="C3">
        <f>I6*8+J6+K6*8*9*28</f>
        <v>6341.15</v>
      </c>
      <c r="D3" t="s">
        <v>6</v>
      </c>
    </row>
    <row r="4" spans="2:11">
      <c r="B4" t="s">
        <v>96</v>
      </c>
      <c r="C4">
        <f>C2-C3</f>
        <v>608.85000000000036</v>
      </c>
      <c r="D4" t="s">
        <v>6</v>
      </c>
      <c r="I4" s="19" t="s">
        <v>99</v>
      </c>
      <c r="J4" s="19"/>
      <c r="K4" s="19"/>
    </row>
    <row r="5" spans="2:11">
      <c r="B5" t="s">
        <v>97</v>
      </c>
      <c r="C5">
        <f>100*0.5</f>
        <v>50</v>
      </c>
      <c r="D5" t="s">
        <v>6</v>
      </c>
      <c r="I5" t="s">
        <v>32</v>
      </c>
      <c r="J5" t="s">
        <v>33</v>
      </c>
      <c r="K5" t="s">
        <v>34</v>
      </c>
    </row>
    <row r="6" spans="2:11">
      <c r="B6" t="s">
        <v>98</v>
      </c>
      <c r="C6">
        <f>100*0.5</f>
        <v>50</v>
      </c>
      <c r="D6" t="s">
        <v>6</v>
      </c>
      <c r="I6">
        <v>467.36999999999972</v>
      </c>
      <c r="J6">
        <v>253.5500000000001</v>
      </c>
      <c r="K6">
        <v>1.1650000000000011</v>
      </c>
    </row>
    <row r="7" spans="2:11">
      <c r="B7" t="s">
        <v>48</v>
      </c>
      <c r="C7">
        <f>C4-C5-C6</f>
        <v>508.85000000000036</v>
      </c>
      <c r="D7" t="s">
        <v>6</v>
      </c>
    </row>
    <row r="8" spans="2:11">
      <c r="B8" s="19" t="s">
        <v>102</v>
      </c>
      <c r="C8" s="19"/>
      <c r="D8" s="19"/>
    </row>
    <row r="9" spans="2:11">
      <c r="B9" t="s">
        <v>94</v>
      </c>
      <c r="C9">
        <f>(C2/8)*7</f>
        <v>6081.25</v>
      </c>
      <c r="D9" t="s">
        <v>6</v>
      </c>
    </row>
    <row r="10" spans="2:11">
      <c r="B10" t="s">
        <v>95</v>
      </c>
      <c r="C10">
        <f>I6*7+J6+K6*7*9*28</f>
        <v>5580.2</v>
      </c>
      <c r="D10" t="s">
        <v>6</v>
      </c>
    </row>
    <row r="11" spans="2:11">
      <c r="B11" t="s">
        <v>96</v>
      </c>
      <c r="C11">
        <f>C9-C10</f>
        <v>501.05000000000018</v>
      </c>
      <c r="D11" t="s">
        <v>6</v>
      </c>
    </row>
    <row r="12" spans="2:11">
      <c r="B12" t="s">
        <v>97</v>
      </c>
      <c r="C12">
        <f>100*0.5</f>
        <v>50</v>
      </c>
      <c r="D12" t="s">
        <v>6</v>
      </c>
    </row>
    <row r="13" spans="2:11">
      <c r="B13" t="s">
        <v>98</v>
      </c>
      <c r="C13">
        <f>100*0.5</f>
        <v>50</v>
      </c>
      <c r="D13" t="s">
        <v>6</v>
      </c>
    </row>
    <row r="14" spans="2:11">
      <c r="B14" t="s">
        <v>48</v>
      </c>
      <c r="C14">
        <f>C11-C12-C13</f>
        <v>401.05000000000018</v>
      </c>
      <c r="D14" t="s">
        <v>6</v>
      </c>
    </row>
    <row r="15" spans="2:11">
      <c r="B15" s="19" t="s">
        <v>100</v>
      </c>
      <c r="C15" s="19"/>
      <c r="D15" s="19"/>
    </row>
    <row r="16" spans="2:11">
      <c r="B16" t="s">
        <v>97</v>
      </c>
      <c r="C16">
        <f>C5*2+C12*2</f>
        <v>200</v>
      </c>
      <c r="D16" t="s">
        <v>6</v>
      </c>
    </row>
    <row r="17" spans="2:4">
      <c r="B17" t="s">
        <v>98</v>
      </c>
      <c r="C17">
        <f>C6*2+C13*2</f>
        <v>200</v>
      </c>
      <c r="D17" t="s">
        <v>6</v>
      </c>
    </row>
    <row r="18" spans="2:4">
      <c r="B18" t="s">
        <v>48</v>
      </c>
      <c r="C18">
        <f>C7*2+C14*2</f>
        <v>1819.8000000000011</v>
      </c>
      <c r="D18" t="s">
        <v>6</v>
      </c>
    </row>
    <row r="19" spans="2:4">
      <c r="B19" s="19" t="s">
        <v>101</v>
      </c>
      <c r="C19" s="19"/>
      <c r="D19" s="19"/>
    </row>
    <row r="20" spans="2:4">
      <c r="B20" t="s">
        <v>97</v>
      </c>
      <c r="C20">
        <f>(C5+C12)/(8+7)</f>
        <v>6.666666666666667</v>
      </c>
      <c r="D20" t="s">
        <v>6</v>
      </c>
    </row>
    <row r="21" spans="2:4">
      <c r="B21" t="s">
        <v>98</v>
      </c>
      <c r="C21">
        <f>(C6+C13)/(8+7)</f>
        <v>6.666666666666667</v>
      </c>
      <c r="D21" t="s">
        <v>6</v>
      </c>
    </row>
    <row r="22" spans="2:4">
      <c r="B22" t="s">
        <v>48</v>
      </c>
      <c r="C22">
        <f>(C7+C14)/(8+7)</f>
        <v>60.660000000000039</v>
      </c>
      <c r="D22" t="s">
        <v>6</v>
      </c>
    </row>
  </sheetData>
  <mergeCells count="5">
    <mergeCell ref="B1:D1"/>
    <mergeCell ref="B8:D8"/>
    <mergeCell ref="B15:D15"/>
    <mergeCell ref="B19:D19"/>
    <mergeCell ref="I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Materials cabinets</vt:lpstr>
      <vt:lpstr>Energy</vt:lpstr>
      <vt:lpstr>Infrastructure</vt:lpstr>
      <vt:lpstr>Weight 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Sandnes Galaaen</dc:creator>
  <cp:lastModifiedBy>Julie Sandnes Galaaen</cp:lastModifiedBy>
  <dcterms:created xsi:type="dcterms:W3CDTF">2019-10-10T14:23:00Z</dcterms:created>
  <dcterms:modified xsi:type="dcterms:W3CDTF">2020-06-19T12:05:25Z</dcterms:modified>
</cp:coreProperties>
</file>