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ulie/Documents/Energi og Miljø/Masteroppgave/Attachment Master Thesis Julie Sandnes Galaaen/Attachment Julie Sandnes Galaaen/"/>
    </mc:Choice>
  </mc:AlternateContent>
  <xr:revisionPtr revIDLastSave="0" documentId="13_ncr:1_{7932BB28-D6A6-DE4E-81DC-0D47DFB47B6B}" xr6:coauthVersionLast="45" xr6:coauthVersionMax="45" xr10:uidLastSave="{00000000-0000-0000-0000-000000000000}"/>
  <bookViews>
    <workbookView xWindow="25600" yWindow="460" windowWidth="38400" windowHeight="19620" tabRatio="874" activeTab="6" xr2:uid="{00000000-000D-0000-FFFF-FFFF00000000}"/>
  </bookViews>
  <sheets>
    <sheet name="LOG" sheetId="1" r:id="rId1"/>
    <sheet name="Foreground" sheetId="2" r:id="rId2"/>
    <sheet name="1_Battery_pack" sheetId="7" r:id="rId3"/>
    <sheet name="2_Battery_packaging" sheetId="30" r:id="rId4"/>
    <sheet name="3_Control system" sheetId="24" r:id="rId5"/>
    <sheet name="4_Cooling_system" sheetId="20" r:id="rId6"/>
    <sheet name="5_Battery_cell" sheetId="19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avogadro">[1]Materials!$B$72</definedName>
    <definedName name="D_LiOHH2O">[2]Materials!$E$43</definedName>
    <definedName name="D_NCMOH2">[2]Materials!$E$44</definedName>
    <definedName name="D_oil">[1]Materials!$E$67</definedName>
    <definedName name="element">[1]Materials!$B$71</definedName>
    <definedName name="furnace_efficiency">[2]Parameters!$D$57</definedName>
    <definedName name="kg2t">[3]Parameters!$D$54</definedName>
    <definedName name="km_per_mile">#REF!</definedName>
    <definedName name="km_per_MJ">[3]Parameters!$D$39</definedName>
    <definedName name="kwh_2_mj">[2]Parameters!$D$49</definedName>
    <definedName name="M_CaO2H2">[2]Materials!$C$41</definedName>
    <definedName name="M_Co">[2]Materials!$C$6</definedName>
    <definedName name="M_CoSO4">[2]Materials!$C$34</definedName>
    <definedName name="M_H">[2]Materials!$C$12</definedName>
    <definedName name="M_H2O">[2]Materials!$C$23</definedName>
    <definedName name="M_H2SO4">[2]Materials!$C$32</definedName>
    <definedName name="M_Li2CO3">[2]Materials!$C$29</definedName>
    <definedName name="M_LiFePO4">[1]Materials!$C$56</definedName>
    <definedName name="M_LiOH">[2]Materials!$C$42</definedName>
    <definedName name="M_LiOHH2O">[2]Materials!$C$43</definedName>
    <definedName name="M_LNCMO2">[2]Materials!$C$25</definedName>
    <definedName name="M_Mn">[2]Materials!$C$5</definedName>
    <definedName name="M_MnSO4">[2]Materials!$C$35</definedName>
    <definedName name="M_Na">[2]Materials!$C$11</definedName>
    <definedName name="M_Ni">[2]Materials!$C$7</definedName>
    <definedName name="M_NiSO4">[2]Materials!$C$33</definedName>
    <definedName name="M_O">[2]Materials!$C$9</definedName>
    <definedName name="M_S">[2]Materials!$C$10</definedName>
    <definedName name="MJ_per_kg_oil">#REF!</definedName>
    <definedName name="naut2km">[3]Parameters!$D$45</definedName>
    <definedName name="T_F">[4]Parameters!$D$47</definedName>
    <definedName name="T_L">[2]Parameters!$D$48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" i="30" l="1"/>
  <c r="D29" i="30"/>
  <c r="G18" i="30"/>
  <c r="G20" i="30" l="1"/>
  <c r="G22" i="30" l="1"/>
  <c r="H8" i="7" l="1"/>
  <c r="H7" i="7"/>
  <c r="G8" i="20" l="1"/>
  <c r="G53" i="30" l="1"/>
  <c r="G52" i="30"/>
  <c r="D4" i="2" l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9" i="2"/>
  <c r="D21" i="2"/>
  <c r="D22" i="2"/>
  <c r="D23" i="2"/>
  <c r="D24" i="2"/>
  <c r="D25" i="2"/>
  <c r="D26" i="2"/>
  <c r="D27" i="2"/>
  <c r="D28" i="2"/>
  <c r="D29" i="2"/>
  <c r="D30" i="2"/>
  <c r="G9" i="24" l="1"/>
  <c r="G23" i="30"/>
  <c r="G21" i="30"/>
  <c r="G38" i="30"/>
  <c r="G55" i="30" l="1"/>
  <c r="G8" i="24" l="1"/>
  <c r="G6" i="20" l="1"/>
  <c r="G6" i="24"/>
  <c r="D15" i="24" s="1"/>
  <c r="C12" i="19" l="1"/>
  <c r="B12" i="19"/>
  <c r="C11" i="19"/>
  <c r="B11" i="19"/>
  <c r="C10" i="19"/>
  <c r="B10" i="19"/>
  <c r="C9" i="19"/>
  <c r="B9" i="19"/>
  <c r="C8" i="19"/>
  <c r="B8" i="19"/>
  <c r="B3" i="19"/>
  <c r="C6" i="19" s="1"/>
  <c r="A3" i="19"/>
  <c r="B6" i="19" s="1"/>
  <c r="G56" i="30" l="1"/>
  <c r="G57" i="30"/>
  <c r="G50" i="30" l="1"/>
  <c r="D6" i="19"/>
  <c r="D52" i="30" l="1"/>
  <c r="D63" i="30"/>
  <c r="D66" i="30"/>
  <c r="G37" i="30" l="1"/>
  <c r="D9" i="24" l="1"/>
  <c r="B9" i="30" l="1"/>
  <c r="A32" i="30" s="1"/>
  <c r="B8" i="30"/>
  <c r="C9" i="30"/>
  <c r="B32" i="30" s="1"/>
  <c r="G40" i="30"/>
  <c r="G39" i="30"/>
  <c r="G42" i="30" l="1"/>
  <c r="G35" i="30" s="1"/>
  <c r="D41" i="30" s="1"/>
  <c r="D38" i="30" l="1"/>
  <c r="G32" i="30"/>
  <c r="G9" i="30" s="1"/>
  <c r="D37" i="30"/>
  <c r="D42" i="30"/>
  <c r="D40" i="30"/>
  <c r="D39" i="30"/>
  <c r="E35" i="30" l="1"/>
  <c r="D44" i="30"/>
  <c r="D45" i="30"/>
  <c r="D14" i="24" l="1"/>
  <c r="D8" i="24" l="1"/>
  <c r="D10" i="24"/>
  <c r="D13" i="24"/>
  <c r="D11" i="24"/>
  <c r="D12" i="24"/>
  <c r="D17" i="24" l="1"/>
  <c r="D18" i="24"/>
  <c r="E6" i="24"/>
  <c r="A3" i="24"/>
  <c r="B3" i="24"/>
  <c r="C6" i="24" s="1"/>
  <c r="D58" i="30" l="1"/>
  <c r="D53" i="30"/>
  <c r="D54" i="30"/>
  <c r="G3" i="24"/>
  <c r="G26" i="30" l="1"/>
  <c r="G25" i="30"/>
  <c r="G24" i="30"/>
  <c r="D27" i="30" l="1"/>
  <c r="D23" i="30" l="1"/>
  <c r="D26" i="30"/>
  <c r="D24" i="30"/>
  <c r="D25" i="30"/>
  <c r="D21" i="30"/>
  <c r="C8" i="30"/>
  <c r="C35" i="30" s="1"/>
  <c r="C9" i="7" l="1"/>
  <c r="C8" i="7"/>
  <c r="C7" i="7"/>
  <c r="C6" i="7"/>
  <c r="C4" i="7"/>
  <c r="T7" i="7" l="1"/>
  <c r="G9" i="7" l="1"/>
  <c r="H9" i="7" s="1"/>
  <c r="A47" i="30" l="1"/>
  <c r="B47" i="30"/>
  <c r="B10" i="30"/>
  <c r="C10" i="30"/>
  <c r="A3" i="30"/>
  <c r="B3" i="30"/>
  <c r="B35" i="30"/>
  <c r="AM2" i="2" l="1"/>
  <c r="O3" i="7"/>
  <c r="Q3" i="7" s="1"/>
  <c r="S3" i="7" s="1"/>
  <c r="S7" i="7"/>
  <c r="B6" i="30"/>
  <c r="C6" i="30"/>
  <c r="A15" i="30"/>
  <c r="C18" i="30"/>
  <c r="C50" i="30"/>
  <c r="B4" i="7"/>
  <c r="B7" i="7"/>
  <c r="B8" i="7"/>
  <c r="B9" i="7"/>
  <c r="B6" i="7"/>
  <c r="Y3" i="2"/>
  <c r="Y2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C3" i="2"/>
  <c r="AB3" i="2"/>
  <c r="AD3" i="2"/>
  <c r="AA3" i="2"/>
  <c r="Z3" i="2"/>
  <c r="X3" i="2"/>
  <c r="W3" i="2"/>
  <c r="V3" i="2"/>
  <c r="U3" i="2"/>
  <c r="T3" i="2"/>
  <c r="S3" i="2"/>
  <c r="R3" i="2"/>
  <c r="Q3" i="2"/>
  <c r="P3" i="2"/>
  <c r="O3" i="2"/>
  <c r="N3" i="2"/>
  <c r="AW2" i="2"/>
  <c r="AV2" i="2"/>
  <c r="AU2" i="2"/>
  <c r="AT2" i="2"/>
  <c r="AS2" i="2"/>
  <c r="AR2" i="2"/>
  <c r="AQ2" i="2"/>
  <c r="AP2" i="2"/>
  <c r="AO2" i="2"/>
  <c r="AN2" i="2"/>
  <c r="AL2" i="2"/>
  <c r="AK2" i="2"/>
  <c r="AJ2" i="2"/>
  <c r="AI2" i="2"/>
  <c r="AH2" i="2"/>
  <c r="AG2" i="2"/>
  <c r="AF2" i="2"/>
  <c r="AE2" i="2"/>
  <c r="AC2" i="2"/>
  <c r="AB2" i="2"/>
  <c r="AD2" i="2"/>
  <c r="AA2" i="2"/>
  <c r="Z2" i="2"/>
  <c r="X2" i="2"/>
  <c r="W2" i="2"/>
  <c r="V2" i="2"/>
  <c r="U2" i="2"/>
  <c r="T2" i="2"/>
  <c r="S2" i="2"/>
  <c r="R2" i="2"/>
  <c r="Q2" i="2"/>
  <c r="P2" i="2"/>
  <c r="O2" i="2"/>
  <c r="N2" i="2"/>
  <c r="A3" i="20"/>
  <c r="B6" i="20" s="1"/>
  <c r="B3" i="20"/>
  <c r="C6" i="20" s="1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B15" i="30" l="1"/>
  <c r="D22" i="30" l="1"/>
  <c r="G15" i="30"/>
  <c r="G8" i="30" s="1"/>
  <c r="D20" i="30"/>
  <c r="F3" i="20"/>
  <c r="D8" i="20"/>
  <c r="D11" i="20" l="1"/>
  <c r="D10" i="20"/>
  <c r="E18" i="30"/>
  <c r="E6" i="20"/>
  <c r="D55" i="30" l="1"/>
  <c r="D57" i="30"/>
  <c r="D56" i="30"/>
  <c r="G47" i="30"/>
  <c r="G10" i="30" s="1"/>
  <c r="D60" i="30" l="1"/>
  <c r="D61" i="30"/>
  <c r="G6" i="30"/>
  <c r="D10" i="30" s="1"/>
  <c r="E50" i="30"/>
  <c r="D9" i="30" l="1"/>
  <c r="G3" i="30"/>
  <c r="H6" i="7" s="1"/>
  <c r="D8" i="30"/>
  <c r="H4" i="7" l="1"/>
  <c r="E6" i="30"/>
  <c r="E11" i="7" l="1"/>
  <c r="E13" i="7"/>
  <c r="E6" i="7" l="1"/>
  <c r="E7" i="7"/>
  <c r="L4" i="2"/>
  <c r="E9" i="7"/>
  <c r="E8" i="7"/>
  <c r="E16" i="7" l="1"/>
  <c r="E15" i="7"/>
  <c r="F4" i="7"/>
</calcChain>
</file>

<file path=xl/sharedStrings.xml><?xml version="1.0" encoding="utf-8"?>
<sst xmlns="http://schemas.openxmlformats.org/spreadsheetml/2006/main" count="384" uniqueCount="163">
  <si>
    <t>GENERAL INSTRUCTIONS</t>
  </si>
  <si>
    <t>Date:</t>
  </si>
  <si>
    <t>1) You can use this template in two situations:</t>
  </si>
  <si>
    <t>1.1) You want to define a foreground, with a final demand (y_f), requirement matrices (A_ff, A_bf), and foreground emissions (F_f)</t>
  </si>
  <si>
    <t>Project:</t>
  </si>
  <si>
    <t>1.1.1) Fill in colored boxes in the sheets ''Foreground'', ''A_bf'' and ''F_f''</t>
  </si>
  <si>
    <t>1.2.1) Fill in colored boxes in the sheet y_gen</t>
  </si>
  <si>
    <t>Authors:</t>
  </si>
  <si>
    <t>3) The process ID in the labels (Column C) MUST be numerical</t>
  </si>
  <si>
    <t>4) The process ID int eh labels (Column C) MUST be unique, i.e. different from those of the background (pick bigger numbers)</t>
  </si>
  <si>
    <t>5) With only one exception, you are NOT allowed to modify the layout fo the template</t>
  </si>
  <si>
    <t>5.1) Exception: You are allowed to add or remove columns between (but excluding) columns C and J of the sheet "Foreground"</t>
  </si>
  <si>
    <t>5.2) In other words, you are allowed to modify the layout of the process labels "PRO_f" as long as:</t>
  </si>
  <si>
    <t>5.2.1) …the first column of the label is the full NAME</t>
  </si>
  <si>
    <t>5.2.2) …the second column of the label is the ID number</t>
  </si>
  <si>
    <t>5.2.3) … the LAST column of the label is the unit</t>
  </si>
  <si>
    <t>6) Do NOT edit the sheet named 'version'</t>
  </si>
  <si>
    <t>7) Even though the coloring stops at some point, there should not be any limit to the size of any of the matrices/vectors</t>
  </si>
  <si>
    <t xml:space="preserve">8) Evidently, dimensions need to be consistent. </t>
  </si>
  <si>
    <t>In the sheet "Foreground": y_f and A_ff cannot have more rows than PRO_f</t>
  </si>
  <si>
    <t>In this Sheet, you enter your foreground data: The process labels (green), the final demand vector (y_f, pink), and your foreground requirement matrix (A_ff, orange)</t>
  </si>
  <si>
    <t>Label (PRO_f):</t>
  </si>
  <si>
    <t>y_f:</t>
  </si>
  <si>
    <t>A_ff:</t>
  </si>
  <si>
    <t>FULL NAME</t>
  </si>
  <si>
    <t>PROCESS ID</t>
  </si>
  <si>
    <t>NAME</t>
  </si>
  <si>
    <t>Other ID</t>
  </si>
  <si>
    <t>INFRASTRUCTURE?</t>
  </si>
  <si>
    <t>LOCATION</t>
  </si>
  <si>
    <t>CATEGORY</t>
  </si>
  <si>
    <t>SUBCATEGORY</t>
  </si>
  <si>
    <t>UNIT</t>
  </si>
  <si>
    <t>Unit</t>
  </si>
  <si>
    <t>1.2) You only want to define a final demand vector, which calls for a final demand on generic data</t>
  </si>
  <si>
    <t>2) You can use white boxes for your own commments, these are not read by Arda</t>
  </si>
  <si>
    <t>09.04.2012</t>
  </si>
  <si>
    <t>Battery</t>
  </si>
  <si>
    <t>Linda Ager-Wick Ellingsen</t>
  </si>
  <si>
    <t>Substance</t>
  </si>
  <si>
    <t>Subtotals</t>
  </si>
  <si>
    <t>Input</t>
  </si>
  <si>
    <t>Output</t>
  </si>
  <si>
    <t>Flow/Mass</t>
  </si>
  <si>
    <t>Dimensions/unit</t>
  </si>
  <si>
    <t>Inhouse
/OUTSOURCE</t>
  </si>
  <si>
    <t>Proxy or description</t>
  </si>
  <si>
    <t>Function/Comments</t>
  </si>
  <si>
    <t>Reference</t>
  </si>
  <si>
    <t>facilities precious metal refinery/ SE/ unit</t>
  </si>
  <si>
    <t>p</t>
  </si>
  <si>
    <t>Infrastructure</t>
  </si>
  <si>
    <t>Energy &amp; Processes</t>
  </si>
  <si>
    <t>kg</t>
  </si>
  <si>
    <t>Components</t>
  </si>
  <si>
    <t>Functional Unit</t>
  </si>
  <si>
    <t>Transport</t>
  </si>
  <si>
    <t>Transport_ freight_ rail/RER U</t>
  </si>
  <si>
    <t>tkm</t>
  </si>
  <si>
    <t>Transport, lorry &gt;32t</t>
  </si>
  <si>
    <t>Copper</t>
  </si>
  <si>
    <t>Cobalt Sulphate</t>
  </si>
  <si>
    <t>kWh</t>
  </si>
  <si>
    <t>Lithium carbonate</t>
  </si>
  <si>
    <t>Electrolyte</t>
  </si>
  <si>
    <t>Cathode</t>
  </si>
  <si>
    <t>Anode</t>
  </si>
  <si>
    <t>Aluminum pouch</t>
  </si>
  <si>
    <t>Lithium hexafluorophosphate</t>
  </si>
  <si>
    <t>LiF</t>
  </si>
  <si>
    <t>PCl5</t>
  </si>
  <si>
    <t>ship</t>
  </si>
  <si>
    <t>Nautical mile</t>
  </si>
  <si>
    <t>Driving distance Norway (Brevik to Heræya industripark) km</t>
  </si>
  <si>
    <t>electricity, medium voltage, at grid/ NO/ kWh</t>
  </si>
  <si>
    <t>Total flow/mass</t>
  </si>
  <si>
    <t xml:space="preserve">Transportation with lorry </t>
  </si>
  <si>
    <t xml:space="preserve">Shipping </t>
  </si>
  <si>
    <t>Positive_paste</t>
  </si>
  <si>
    <t>Negative_paste</t>
  </si>
  <si>
    <t>van</t>
  </si>
  <si>
    <t>Battery cell</t>
  </si>
  <si>
    <t>Cooling system</t>
  </si>
  <si>
    <t>Cell container</t>
  </si>
  <si>
    <t>km</t>
  </si>
  <si>
    <t>Mass</t>
  </si>
  <si>
    <t>Total mass</t>
  </si>
  <si>
    <t>Battery packaging</t>
  </si>
  <si>
    <t>Module packaging</t>
  </si>
  <si>
    <t>Positive current collector Al</t>
  </si>
  <si>
    <t>Positive electrode paste</t>
  </si>
  <si>
    <t>Negative current collector Cu</t>
  </si>
  <si>
    <t>Negative electrode paste</t>
  </si>
  <si>
    <t>Tab, aluminum</t>
  </si>
  <si>
    <t>Tab, copper</t>
  </si>
  <si>
    <t>Description</t>
  </si>
  <si>
    <t>Separator</t>
  </si>
  <si>
    <t>Electricity mix, medium voltage</t>
  </si>
  <si>
    <t>Electricity requirements</t>
  </si>
  <si>
    <t>Ecoinvent</t>
  </si>
  <si>
    <t>Battery cell manufacturer infrastructure</t>
  </si>
  <si>
    <t>ecoinvent</t>
  </si>
  <si>
    <t>Driving distance km</t>
  </si>
  <si>
    <t>Positive active material (Li(NCM)O2)</t>
  </si>
  <si>
    <t>Electricity for soldering, testing, and initial charge</t>
  </si>
  <si>
    <t>transport, freight, lorry 16-32 metric ton, EURO4/transport, freight, lorry 16-32 metric ton, EURO4/RER/metric ton*km</t>
  </si>
  <si>
    <t>transport, freight, sea, transoceanic ship/transport, freight, sea, transoceanic ship/GLO/metric ton*km</t>
  </si>
  <si>
    <t>transport, freight train/market for transport, freight train/Europe without Switzerland/metric ton*km</t>
  </si>
  <si>
    <t>transport, freight, lorry &gt;32 metric ton, EURO3/transport, freight, lorry &gt;32 metric ton, EURO3/RER/metric ton*km</t>
  </si>
  <si>
    <t>Soldering</t>
  </si>
  <si>
    <t>Precursor NCM</t>
  </si>
  <si>
    <t>Update:</t>
  </si>
  <si>
    <t>9 modules in each battery</t>
  </si>
  <si>
    <t>precious metal refinery/precious metal refinery construction/RoW/unit</t>
  </si>
  <si>
    <t>Siemens facility</t>
  </si>
  <si>
    <t>www.reiseplanung.de</t>
  </si>
  <si>
    <t>Battery pack frame</t>
  </si>
  <si>
    <t>BIP</t>
  </si>
  <si>
    <t>Packaging</t>
  </si>
  <si>
    <t>Electronics</t>
  </si>
  <si>
    <t>Lexan (polycarbonate)</t>
  </si>
  <si>
    <t>Copper jumpers, cu bar, and other copper</t>
  </si>
  <si>
    <t>Fuses</t>
  </si>
  <si>
    <t>Coolant, water (70%)</t>
  </si>
  <si>
    <t>Coolant, Antifrogen (30%)</t>
  </si>
  <si>
    <t>Glass fibre</t>
  </si>
  <si>
    <t>Cooler, baseplate, and other plastic (PA6)</t>
  </si>
  <si>
    <t>Cooler, baseplate, and other plastic (PA66)</t>
  </si>
  <si>
    <t>Battery facility</t>
  </si>
  <si>
    <t>precious metal refinery/precious metal refinery construction/SE/unit</t>
  </si>
  <si>
    <t>1 ferry battery</t>
  </si>
  <si>
    <t>steel, low-alloyed, hot rolled/steel production, low-alloyed, hot rolled/RER/kg</t>
  </si>
  <si>
    <t>copper/copper production, primary/RER/kg</t>
  </si>
  <si>
    <t>aluminium, primary, ingot/aluminium production, primary, ingot/IAI Area, EU27 &amp; EFTA/kg</t>
  </si>
  <si>
    <t>glass fibre/glass fibre production/RER/kg</t>
  </si>
  <si>
    <t>packaging film, low density polyethylene/packaging film production, low density polyethylene/RER/kg</t>
  </si>
  <si>
    <t>electronic component, passive, unspecified/electronic component production, passive, unspecified/GLO/kg</t>
  </si>
  <si>
    <t>nylon 6/nylon 6 production/RER/kg</t>
  </si>
  <si>
    <t>nylon 6-6/nylon 6-6 production/RER/kg</t>
  </si>
  <si>
    <t>water, decarbonised, at user/water production and supply, decarbonised/RER/kg</t>
  </si>
  <si>
    <t>ethylene glycol/ethylene glycol production/RER/kg</t>
  </si>
  <si>
    <t>polycarbonate/polycarbonate production/RER/kg</t>
  </si>
  <si>
    <t>electronics, for control units/electronics production, for control units/RER/kg</t>
  </si>
  <si>
    <t>zinc/primary zinc production from concentrate/RoW/kg</t>
  </si>
  <si>
    <t>Electronics board</t>
  </si>
  <si>
    <t>printed wiring board, surface mounted, unspecified, Pb free/printed wiring board production, surface mounted, unspecified, Pb free/GLO/kg</t>
  </si>
  <si>
    <t>Plastic for electronics</t>
  </si>
  <si>
    <t>www.ports.com</t>
  </si>
  <si>
    <t>Steel frame, panels, doors and cooling pipes</t>
  </si>
  <si>
    <t>Heating, welding cooling and welding laser</t>
  </si>
  <si>
    <t>Robots</t>
  </si>
  <si>
    <t>Enclosure, bolts, nuts, and other steel</t>
  </si>
  <si>
    <t>steel, low-alloyed, hot rolled/market for steel, low-alloyed, hot rolled/GLO/kg</t>
  </si>
  <si>
    <t>Zinc in FerroZink coating</t>
  </si>
  <si>
    <t>Galvanised steel, FerroZink</t>
  </si>
  <si>
    <t>Aluminium</t>
  </si>
  <si>
    <t>Galvanised steel frame, FerroZink, panels, doors and bottom frame</t>
  </si>
  <si>
    <t>Control system</t>
  </si>
  <si>
    <t>Steel frame, bottom frame, panels, doors and interface</t>
  </si>
  <si>
    <t>Copper, cabinet and cables</t>
  </si>
  <si>
    <t>Plastic, cables</t>
  </si>
  <si>
    <t>polyethylene, high density, granulate/polyethylene production, high density, granulate/RER/kg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</si>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</sst>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E+0"/>
    <numFmt numFmtId="165" formatCode="0.00E+000"/>
    <numFmt numFmtId="166" formatCode="0.000"/>
    <numFmt numFmtId="167" formatCode="0.0000"/>
    <numFmt numFmtId="168" formatCode="0.00000"/>
    <numFmt numFmtId="169" formatCode="0.0E+00"/>
    <numFmt numFmtId="170" formatCode="0.0"/>
    <numFmt numFmtId="171" formatCode="0.00E+0"/>
    <numFmt numFmtId="172" formatCode="0.0000000000000000"/>
    <numFmt numFmtId="173" formatCode="0.00000E+00"/>
  </numFmts>
  <fonts count="5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i/>
      <sz val="14"/>
      <color indexed="63"/>
      <name val="Calibri"/>
      <family val="2"/>
    </font>
    <font>
      <b/>
      <i/>
      <sz val="11"/>
      <color indexed="63"/>
      <name val="Calibri"/>
      <family val="2"/>
    </font>
    <font>
      <i/>
      <sz val="11"/>
      <color indexed="63"/>
      <name val="Calibri"/>
      <family val="2"/>
    </font>
    <font>
      <b/>
      <sz val="13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63"/>
      <name val="Arial"/>
      <family val="2"/>
    </font>
    <font>
      <sz val="10"/>
      <color indexed="14"/>
      <name val="Arial"/>
      <family val="2"/>
    </font>
    <font>
      <sz val="10"/>
      <color indexed="17"/>
      <name val="Arial"/>
      <family val="2"/>
    </font>
    <font>
      <sz val="10"/>
      <color indexed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0"/>
      <name val="Arial"/>
      <family val="2"/>
    </font>
    <font>
      <u/>
      <sz val="11"/>
      <color indexed="12"/>
      <name val="Calibri"/>
      <family val="2"/>
    </font>
    <font>
      <sz val="10"/>
      <color indexed="54"/>
      <name val="Calibri"/>
      <family val="2"/>
    </font>
    <font>
      <b/>
      <i/>
      <sz val="10"/>
      <name val="Arial"/>
      <family val="2"/>
    </font>
    <font>
      <sz val="10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0" tint="-0.34998626667073579"/>
      <name val="Calibri"/>
      <family val="2"/>
    </font>
    <font>
      <i/>
      <sz val="11"/>
      <name val="Calibri"/>
      <family val="2"/>
      <scheme val="minor"/>
    </font>
    <font>
      <b/>
      <sz val="10"/>
      <color theme="0" tint="-0.34998626667073579"/>
      <name val="Arial"/>
      <family val="2"/>
    </font>
    <font>
      <b/>
      <sz val="10"/>
      <color theme="0" tint="-0.499984740745262"/>
      <name val="Arial"/>
      <family val="2"/>
    </font>
    <font>
      <b/>
      <sz val="11"/>
      <color theme="0" tint="-0.499984740745262"/>
      <name val="Calibri"/>
      <family val="2"/>
      <scheme val="minor"/>
    </font>
    <font>
      <sz val="10"/>
      <color theme="0" tint="-0.499984740745262"/>
      <name val="Arial"/>
      <family val="2"/>
    </font>
    <font>
      <i/>
      <sz val="10"/>
      <color theme="0" tint="-0.499984740745262"/>
      <name val="Arial"/>
      <family val="2"/>
    </font>
    <font>
      <sz val="11"/>
      <color theme="0" tint="-0.499984740745262"/>
      <name val="Calibri"/>
      <family val="2"/>
    </font>
    <font>
      <i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0" tint="-0.14999847407452621"/>
      <name val="Calibri"/>
      <family val="2"/>
    </font>
    <font>
      <i/>
      <sz val="11"/>
      <color theme="0" tint="-0.14999847407452621"/>
      <name val="Calibri"/>
      <family val="2"/>
    </font>
    <font>
      <sz val="10"/>
      <color theme="0" tint="-0.34998626667073579"/>
      <name val="Arial"/>
      <family val="2"/>
    </font>
    <font>
      <b/>
      <sz val="11"/>
      <color theme="1"/>
      <name val="Calibri (Brødtekst)"/>
    </font>
    <font>
      <sz val="11"/>
      <color theme="1"/>
      <name val="Calibri (Brødtekst)"/>
    </font>
    <font>
      <sz val="11"/>
      <color theme="0" tint="-0.14999847407452621"/>
      <name val="Calibri (Brødtekst)"/>
    </font>
  </fonts>
  <fills count="35">
    <fill>
      <patternFill patternType="none"/>
    </fill>
    <fill>
      <patternFill patternType="gray125"/>
    </fill>
    <fill>
      <patternFill patternType="solid">
        <fgColor indexed="18"/>
        <bgColor indexed="32"/>
      </patternFill>
    </fill>
    <fill>
      <patternFill patternType="solid">
        <fgColor indexed="26"/>
        <bgColor indexed="43"/>
      </patternFill>
    </fill>
    <fill>
      <patternFill patternType="solid">
        <fgColor indexed="42"/>
        <bgColor indexed="27"/>
      </patternFill>
    </fill>
    <fill>
      <patternFill patternType="solid">
        <fgColor indexed="29"/>
        <bgColor indexed="45"/>
      </patternFill>
    </fill>
    <fill>
      <patternFill patternType="solid">
        <fgColor indexed="51"/>
        <bgColor indexed="13"/>
      </patternFill>
    </fill>
    <fill>
      <patternFill patternType="solid">
        <fgColor indexed="43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C795C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27"/>
      </patternFill>
    </fill>
    <fill>
      <patternFill patternType="solid">
        <fgColor theme="1"/>
        <bgColor indexed="45"/>
      </patternFill>
    </fill>
    <fill>
      <patternFill patternType="solid">
        <fgColor theme="1"/>
        <bgColor indexed="13"/>
      </patternFill>
    </fill>
    <fill>
      <patternFill patternType="solid">
        <fgColor theme="1"/>
        <bgColor indexed="26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indexed="64"/>
      </patternFill>
    </fill>
    <fill>
      <patternFill patternType="solid">
        <fgColor rgb="FF76933C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00B050"/>
        <bgColor indexed="13"/>
      </patternFill>
    </fill>
    <fill>
      <patternFill patternType="solid">
        <fgColor rgb="FFCCFFCC"/>
        <bgColor indexed="27"/>
      </patternFill>
    </fill>
    <fill>
      <patternFill patternType="solid">
        <fgColor rgb="FFCCFFCC"/>
        <bgColor indexed="13"/>
      </patternFill>
    </fill>
    <fill>
      <patternFill patternType="solid">
        <fgColor rgb="FFFF8080"/>
        <bgColor indexed="45"/>
      </patternFill>
    </fill>
    <fill>
      <patternFill patternType="solid">
        <fgColor rgb="FFFF8080"/>
        <bgColor indexed="13"/>
      </patternFill>
    </fill>
  </fills>
  <borders count="1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8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22"/>
      </left>
      <right style="thin">
        <color indexed="22"/>
      </right>
      <top style="thin">
        <color rgb="FFFF8080"/>
      </top>
      <bottom style="thin">
        <color rgb="FFFF808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9" fontId="19" fillId="0" borderId="0" applyFont="0" applyFill="0" applyBorder="0" applyAlignment="0" applyProtection="0"/>
    <xf numFmtId="0" fontId="19" fillId="0" borderId="0"/>
  </cellStyleXfs>
  <cellXfs count="354">
    <xf numFmtId="0" fontId="0" fillId="0" borderId="0" xfId="0"/>
    <xf numFmtId="0" fontId="0" fillId="2" borderId="0" xfId="0" applyFill="1"/>
    <xf numFmtId="0" fontId="1" fillId="0" borderId="0" xfId="0" applyFont="1"/>
    <xf numFmtId="0" fontId="0" fillId="3" borderId="0" xfId="0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 applyBorder="1"/>
    <xf numFmtId="0" fontId="5" fillId="4" borderId="1" xfId="0" applyFont="1" applyFill="1" applyBorder="1"/>
    <xf numFmtId="0" fontId="5" fillId="5" borderId="0" xfId="0" applyFont="1" applyFill="1"/>
    <xf numFmtId="0" fontId="5" fillId="6" borderId="1" xfId="0" applyFont="1" applyFill="1" applyBorder="1"/>
    <xf numFmtId="0" fontId="1" fillId="0" borderId="2" xfId="0" applyFont="1" applyFill="1" applyBorder="1"/>
    <xf numFmtId="0" fontId="0" fillId="4" borderId="3" xfId="0" applyFont="1" applyFill="1" applyBorder="1"/>
    <xf numFmtId="0" fontId="0" fillId="5" borderId="0" xfId="0" applyFill="1"/>
    <xf numFmtId="0" fontId="0" fillId="7" borderId="4" xfId="0" applyFill="1" applyBorder="1"/>
    <xf numFmtId="0" fontId="0" fillId="6" borderId="3" xfId="0" applyFill="1" applyBorder="1"/>
    <xf numFmtId="0" fontId="1" fillId="0" borderId="5" xfId="0" applyFont="1" applyBorder="1"/>
    <xf numFmtId="0" fontId="0" fillId="4" borderId="1" xfId="0" applyFill="1" applyBorder="1"/>
    <xf numFmtId="0" fontId="0" fillId="4" borderId="6" xfId="0" applyFill="1" applyBorder="1"/>
    <xf numFmtId="0" fontId="0" fillId="6" borderId="1" xfId="0" applyFill="1" applyBorder="1"/>
    <xf numFmtId="164" fontId="0" fillId="0" borderId="0" xfId="0" applyNumberFormat="1"/>
    <xf numFmtId="0" fontId="23" fillId="9" borderId="0" xfId="0" applyFont="1" applyFill="1"/>
    <xf numFmtId="0" fontId="0" fillId="0" borderId="0" xfId="0" applyBorder="1"/>
    <xf numFmtId="0" fontId="0" fillId="10" borderId="0" xfId="0" applyFill="1"/>
    <xf numFmtId="0" fontId="1" fillId="0" borderId="4" xfId="0" applyFont="1" applyFill="1" applyBorder="1"/>
    <xf numFmtId="166" fontId="0" fillId="6" borderId="1" xfId="0" applyNumberFormat="1" applyFill="1" applyBorder="1"/>
    <xf numFmtId="2" fontId="0" fillId="6" borderId="1" xfId="0" applyNumberFormat="1" applyFill="1" applyBorder="1"/>
    <xf numFmtId="0" fontId="0" fillId="6" borderId="4" xfId="0" applyFill="1" applyBorder="1"/>
    <xf numFmtId="0" fontId="26" fillId="0" borderId="0" xfId="0" applyFont="1"/>
    <xf numFmtId="0" fontId="0" fillId="10" borderId="0" xfId="0" applyFill="1" applyAlignment="1">
      <alignment horizontal="right"/>
    </xf>
    <xf numFmtId="0" fontId="6" fillId="10" borderId="0" xfId="0" applyFont="1" applyFill="1"/>
    <xf numFmtId="0" fontId="25" fillId="10" borderId="0" xfId="0" applyFont="1" applyFill="1"/>
    <xf numFmtId="164" fontId="0" fillId="10" borderId="0" xfId="0" applyNumberFormat="1" applyFill="1"/>
    <xf numFmtId="0" fontId="1" fillId="10" borderId="0" xfId="0" applyFont="1" applyFill="1"/>
    <xf numFmtId="2" fontId="0" fillId="10" borderId="0" xfId="0" applyNumberFormat="1" applyFill="1"/>
    <xf numFmtId="0" fontId="0" fillId="10" borderId="0" xfId="0" applyFill="1" applyBorder="1" applyAlignment="1">
      <alignment horizontal="right"/>
    </xf>
    <xf numFmtId="0" fontId="25" fillId="10" borderId="0" xfId="0" applyFont="1" applyFill="1" applyAlignment="1">
      <alignment horizontal="right" vertical="top"/>
    </xf>
    <xf numFmtId="164" fontId="26" fillId="0" borderId="0" xfId="0" applyNumberFormat="1" applyFont="1"/>
    <xf numFmtId="0" fontId="6" fillId="0" borderId="0" xfId="0" applyFont="1" applyAlignment="1">
      <alignment vertical="top"/>
    </xf>
    <xf numFmtId="164" fontId="6" fillId="0" borderId="0" xfId="0" applyNumberFormat="1" applyFont="1" applyAlignment="1">
      <alignment vertical="top"/>
    </xf>
    <xf numFmtId="164" fontId="6" fillId="0" borderId="0" xfId="0" applyNumberFormat="1" applyFont="1" applyAlignment="1">
      <alignment vertical="top" wrapText="1"/>
    </xf>
    <xf numFmtId="0" fontId="6" fillId="0" borderId="0" xfId="0" applyFont="1" applyAlignment="1">
      <alignment horizontal="right" vertical="top"/>
    </xf>
    <xf numFmtId="0" fontId="0" fillId="0" borderId="0" xfId="0" applyAlignment="1">
      <alignment vertical="top"/>
    </xf>
    <xf numFmtId="2" fontId="0" fillId="5" borderId="0" xfId="0" applyNumberFormat="1" applyFill="1"/>
    <xf numFmtId="0" fontId="0" fillId="11" borderId="0" xfId="0" applyFill="1"/>
    <xf numFmtId="0" fontId="6" fillId="11" borderId="0" xfId="0" applyFont="1" applyFill="1" applyAlignment="1">
      <alignment vertical="top"/>
    </xf>
    <xf numFmtId="0" fontId="6" fillId="11" borderId="0" xfId="0" applyFont="1" applyFill="1" applyAlignment="1">
      <alignment horizontal="right" vertical="top"/>
    </xf>
    <xf numFmtId="165" fontId="6" fillId="11" borderId="0" xfId="0" applyNumberFormat="1" applyFont="1" applyFill="1" applyAlignment="1">
      <alignment vertical="top"/>
    </xf>
    <xf numFmtId="0" fontId="6" fillId="11" borderId="0" xfId="0" applyFont="1" applyFill="1"/>
    <xf numFmtId="0" fontId="25" fillId="11" borderId="0" xfId="0" applyFont="1" applyFill="1"/>
    <xf numFmtId="0" fontId="13" fillId="11" borderId="0" xfId="0" applyFont="1" applyFill="1"/>
    <xf numFmtId="0" fontId="13" fillId="11" borderId="0" xfId="0" applyFont="1" applyFill="1" applyAlignment="1">
      <alignment horizontal="right"/>
    </xf>
    <xf numFmtId="0" fontId="6" fillId="11" borderId="0" xfId="0" applyFont="1" applyFill="1" applyBorder="1"/>
    <xf numFmtId="164" fontId="7" fillId="11" borderId="0" xfId="0" applyNumberFormat="1" applyFont="1" applyFill="1"/>
    <xf numFmtId="0" fontId="17" fillId="11" borderId="0" xfId="0" applyFont="1" applyFill="1" applyAlignment="1">
      <alignment horizontal="left" vertical="top" wrapText="1"/>
    </xf>
    <xf numFmtId="0" fontId="25" fillId="11" borderId="0" xfId="0" applyFont="1" applyFill="1" applyAlignment="1">
      <alignment vertical="top"/>
    </xf>
    <xf numFmtId="164" fontId="25" fillId="11" borderId="0" xfId="0" applyNumberFormat="1" applyFont="1" applyFill="1"/>
    <xf numFmtId="0" fontId="14" fillId="11" borderId="0" xfId="0" applyFont="1" applyFill="1" applyAlignment="1">
      <alignment horizontal="center"/>
    </xf>
    <xf numFmtId="165" fontId="25" fillId="11" borderId="0" xfId="0" applyNumberFormat="1" applyFont="1" applyFill="1"/>
    <xf numFmtId="0" fontId="32" fillId="11" borderId="0" xfId="0" applyFont="1" applyFill="1"/>
    <xf numFmtId="0" fontId="12" fillId="11" borderId="0" xfId="0" applyFont="1" applyFill="1"/>
    <xf numFmtId="0" fontId="18" fillId="11" borderId="0" xfId="1" applyFont="1" applyFill="1"/>
    <xf numFmtId="0" fontId="25" fillId="11" borderId="0" xfId="0" applyFont="1" applyFill="1" applyBorder="1"/>
    <xf numFmtId="0" fontId="14" fillId="11" borderId="0" xfId="0" applyFont="1" applyFill="1" applyBorder="1" applyAlignment="1">
      <alignment horizontal="center"/>
    </xf>
    <xf numFmtId="0" fontId="25" fillId="11" borderId="0" xfId="0" applyFont="1" applyFill="1" applyBorder="1" applyAlignment="1">
      <alignment horizontal="right" vertical="top"/>
    </xf>
    <xf numFmtId="0" fontId="25" fillId="11" borderId="9" xfId="0" applyFont="1" applyFill="1" applyBorder="1"/>
    <xf numFmtId="0" fontId="25" fillId="11" borderId="0" xfId="0" applyFont="1" applyFill="1" applyAlignment="1">
      <alignment horizontal="right" vertical="top"/>
    </xf>
    <xf numFmtId="0" fontId="18" fillId="11" borderId="0" xfId="1" applyFont="1" applyFill="1" applyBorder="1"/>
    <xf numFmtId="0" fontId="14" fillId="11" borderId="0" xfId="1" applyNumberFormat="1" applyFont="1" applyFill="1" applyBorder="1" applyAlignment="1" applyProtection="1"/>
    <xf numFmtId="0" fontId="25" fillId="11" borderId="0" xfId="0" applyFont="1" applyFill="1" applyAlignment="1">
      <alignment horizontal="right"/>
    </xf>
    <xf numFmtId="171" fontId="6" fillId="11" borderId="0" xfId="0" applyNumberFormat="1" applyFont="1" applyFill="1" applyAlignment="1">
      <alignment vertical="top"/>
    </xf>
    <xf numFmtId="171" fontId="25" fillId="11" borderId="0" xfId="0" applyNumberFormat="1" applyFont="1" applyFill="1"/>
    <xf numFmtId="171" fontId="7" fillId="11" borderId="0" xfId="0" applyNumberFormat="1" applyFont="1" applyFill="1"/>
    <xf numFmtId="171" fontId="6" fillId="11" borderId="0" xfId="0" applyNumberFormat="1" applyFont="1" applyFill="1" applyAlignment="1">
      <alignment vertical="top" wrapText="1"/>
    </xf>
    <xf numFmtId="171" fontId="12" fillId="11" borderId="0" xfId="0" applyNumberFormat="1" applyFont="1" applyFill="1"/>
    <xf numFmtId="171" fontId="25" fillId="11" borderId="0" xfId="0" applyNumberFormat="1" applyFont="1" applyFill="1" applyBorder="1"/>
    <xf numFmtId="164" fontId="6" fillId="11" borderId="0" xfId="0" applyNumberFormat="1" applyFont="1" applyFill="1"/>
    <xf numFmtId="0" fontId="6" fillId="11" borderId="0" xfId="0" applyFont="1" applyFill="1" applyAlignment="1">
      <alignment horizontal="right"/>
    </xf>
    <xf numFmtId="0" fontId="7" fillId="11" borderId="0" xfId="0" applyFont="1" applyFill="1" applyBorder="1"/>
    <xf numFmtId="164" fontId="7" fillId="11" borderId="0" xfId="0" applyNumberFormat="1" applyFont="1" applyFill="1" applyBorder="1"/>
    <xf numFmtId="0" fontId="7" fillId="11" borderId="0" xfId="0" applyFont="1" applyFill="1" applyBorder="1" applyAlignment="1">
      <alignment horizontal="right"/>
    </xf>
    <xf numFmtId="0" fontId="25" fillId="11" borderId="0" xfId="0" applyNumberFormat="1" applyFont="1" applyFill="1"/>
    <xf numFmtId="170" fontId="25" fillId="11" borderId="0" xfId="0" applyNumberFormat="1" applyFont="1" applyFill="1"/>
    <xf numFmtId="164" fontId="34" fillId="11" borderId="0" xfId="0" applyNumberFormat="1" applyFont="1" applyFill="1"/>
    <xf numFmtId="164" fontId="12" fillId="11" borderId="0" xfId="0" applyNumberFormat="1" applyFont="1" applyFill="1"/>
    <xf numFmtId="164" fontId="7" fillId="11" borderId="0" xfId="0" applyNumberFormat="1" applyFont="1" applyFill="1" applyAlignment="1">
      <alignment horizontal="center"/>
    </xf>
    <xf numFmtId="164" fontId="14" fillId="11" borderId="0" xfId="0" applyNumberFormat="1" applyFont="1" applyFill="1" applyBorder="1" applyAlignment="1">
      <alignment horizontal="center"/>
    </xf>
    <xf numFmtId="171" fontId="34" fillId="11" borderId="0" xfId="0" applyNumberFormat="1" applyFont="1" applyFill="1"/>
    <xf numFmtId="0" fontId="0" fillId="11" borderId="0" xfId="0" applyFill="1" applyBorder="1"/>
    <xf numFmtId="0" fontId="0" fillId="11" borderId="0" xfId="0" applyFill="1" applyBorder="1" applyAlignment="1">
      <alignment horizontal="right"/>
    </xf>
    <xf numFmtId="169" fontId="0" fillId="0" borderId="0" xfId="0" applyNumberFormat="1"/>
    <xf numFmtId="171" fontId="7" fillId="11" borderId="0" xfId="0" applyNumberFormat="1" applyFont="1" applyFill="1" applyBorder="1"/>
    <xf numFmtId="167" fontId="25" fillId="11" borderId="0" xfId="0" applyNumberFormat="1" applyFont="1" applyFill="1"/>
    <xf numFmtId="2" fontId="25" fillId="11" borderId="0" xfId="0" applyNumberFormat="1" applyFont="1" applyFill="1"/>
    <xf numFmtId="169" fontId="23" fillId="9" borderId="0" xfId="0" applyNumberFormat="1" applyFont="1" applyFill="1"/>
    <xf numFmtId="169" fontId="0" fillId="10" borderId="0" xfId="0" applyNumberFormat="1" applyFill="1"/>
    <xf numFmtId="169" fontId="0" fillId="11" borderId="0" xfId="0" applyNumberFormat="1" applyFill="1" applyBorder="1"/>
    <xf numFmtId="169" fontId="6" fillId="0" borderId="0" xfId="0" applyNumberFormat="1" applyFont="1" applyAlignment="1">
      <alignment vertical="top"/>
    </xf>
    <xf numFmtId="169" fontId="23" fillId="10" borderId="0" xfId="0" applyNumberFormat="1" applyFont="1" applyFill="1"/>
    <xf numFmtId="164" fontId="6" fillId="11" borderId="0" xfId="0" applyNumberFormat="1" applyFont="1" applyFill="1" applyAlignment="1">
      <alignment vertical="top"/>
    </xf>
    <xf numFmtId="164" fontId="25" fillId="11" borderId="0" xfId="0" applyNumberFormat="1" applyFont="1" applyFill="1" applyBorder="1" applyAlignment="1">
      <alignment horizontal="right"/>
    </xf>
    <xf numFmtId="9" fontId="25" fillId="11" borderId="0" xfId="4" applyFont="1" applyFill="1" applyAlignment="1">
      <alignment horizontal="center"/>
    </xf>
    <xf numFmtId="0" fontId="0" fillId="12" borderId="0" xfId="0" applyFill="1"/>
    <xf numFmtId="169" fontId="0" fillId="12" borderId="0" xfId="0" applyNumberFormat="1" applyFill="1"/>
    <xf numFmtId="0" fontId="25" fillId="13" borderId="0" xfId="0" applyFont="1" applyFill="1"/>
    <xf numFmtId="0" fontId="32" fillId="13" borderId="0" xfId="0" applyFont="1" applyFill="1"/>
    <xf numFmtId="0" fontId="25" fillId="14" borderId="0" xfId="0" applyFont="1" applyFill="1"/>
    <xf numFmtId="164" fontId="32" fillId="13" borderId="0" xfId="0" applyNumberFormat="1" applyFont="1" applyFill="1"/>
    <xf numFmtId="171" fontId="32" fillId="13" borderId="0" xfId="0" applyNumberFormat="1" applyFont="1" applyFill="1"/>
    <xf numFmtId="0" fontId="25" fillId="12" borderId="0" xfId="0" applyFont="1" applyFill="1"/>
    <xf numFmtId="164" fontId="25" fillId="12" borderId="0" xfId="0" applyNumberFormat="1" applyFont="1" applyFill="1"/>
    <xf numFmtId="171" fontId="25" fillId="12" borderId="0" xfId="0" applyNumberFormat="1" applyFont="1" applyFill="1"/>
    <xf numFmtId="0" fontId="25" fillId="9" borderId="0" xfId="0" applyFont="1" applyFill="1"/>
    <xf numFmtId="0" fontId="26" fillId="12" borderId="0" xfId="0" applyFont="1" applyFill="1"/>
    <xf numFmtId="169" fontId="25" fillId="11" borderId="0" xfId="0" applyNumberFormat="1" applyFont="1" applyFill="1" applyAlignment="1">
      <alignment horizontal="right"/>
    </xf>
    <xf numFmtId="0" fontId="0" fillId="11" borderId="0" xfId="0" applyFill="1" applyAlignment="1">
      <alignment horizontal="right"/>
    </xf>
    <xf numFmtId="166" fontId="0" fillId="11" borderId="0" xfId="0" applyNumberFormat="1" applyFill="1"/>
    <xf numFmtId="0" fontId="1" fillId="11" borderId="0" xfId="0" applyFont="1" applyFill="1" applyAlignment="1">
      <alignment horizontal="right"/>
    </xf>
    <xf numFmtId="0" fontId="1" fillId="11" borderId="0" xfId="0" applyFont="1" applyFill="1"/>
    <xf numFmtId="0" fontId="0" fillId="11" borderId="0" xfId="0" applyFill="1" applyAlignment="1">
      <alignment horizontal="right" vertical="top"/>
    </xf>
    <xf numFmtId="169" fontId="0" fillId="11" borderId="0" xfId="0" applyNumberFormat="1" applyFill="1"/>
    <xf numFmtId="0" fontId="0" fillId="11" borderId="0" xfId="0" applyFill="1" applyBorder="1" applyAlignment="1">
      <alignment horizontal="right" vertical="top"/>
    </xf>
    <xf numFmtId="0" fontId="23" fillId="11" borderId="0" xfId="0" applyFont="1" applyFill="1"/>
    <xf numFmtId="164" fontId="0" fillId="11" borderId="0" xfId="0" applyNumberFormat="1" applyFill="1"/>
    <xf numFmtId="0" fontId="0" fillId="11" borderId="11" xfId="0" applyFill="1" applyBorder="1"/>
    <xf numFmtId="0" fontId="16" fillId="11" borderId="0" xfId="1" applyFill="1"/>
    <xf numFmtId="2" fontId="0" fillId="11" borderId="0" xfId="0" applyNumberFormat="1" applyFill="1" applyBorder="1" applyAlignment="1">
      <alignment horizontal="right"/>
    </xf>
    <xf numFmtId="169" fontId="25" fillId="11" borderId="0" xfId="0" applyNumberFormat="1" applyFont="1" applyFill="1" applyBorder="1" applyAlignment="1">
      <alignment horizontal="right"/>
    </xf>
    <xf numFmtId="0" fontId="0" fillId="11" borderId="9" xfId="0" applyFill="1" applyBorder="1"/>
    <xf numFmtId="0" fontId="13" fillId="11" borderId="9" xfId="0" applyFont="1" applyFill="1" applyBorder="1"/>
    <xf numFmtId="0" fontId="21" fillId="15" borderId="0" xfId="0" applyFont="1" applyFill="1"/>
    <xf numFmtId="2" fontId="0" fillId="11" borderId="0" xfId="0" applyNumberFormat="1" applyFill="1"/>
    <xf numFmtId="164" fontId="9" fillId="11" borderId="0" xfId="0" applyNumberFormat="1" applyFont="1" applyFill="1" applyBorder="1"/>
    <xf numFmtId="0" fontId="28" fillId="11" borderId="0" xfId="0" applyFont="1" applyFill="1"/>
    <xf numFmtId="0" fontId="23" fillId="11" borderId="0" xfId="0" applyFont="1" applyFill="1" applyBorder="1"/>
    <xf numFmtId="0" fontId="16" fillId="11" borderId="10" xfId="1" applyFill="1" applyBorder="1"/>
    <xf numFmtId="0" fontId="0" fillId="11" borderId="10" xfId="0" applyFill="1" applyBorder="1"/>
    <xf numFmtId="169" fontId="0" fillId="11" borderId="11" xfId="0" applyNumberFormat="1" applyFill="1" applyBorder="1"/>
    <xf numFmtId="10" fontId="0" fillId="11" borderId="0" xfId="0" applyNumberFormat="1" applyFill="1" applyBorder="1"/>
    <xf numFmtId="0" fontId="7" fillId="11" borderId="9" xfId="0" applyFont="1" applyFill="1" applyBorder="1"/>
    <xf numFmtId="0" fontId="28" fillId="11" borderId="11" xfId="0" applyFont="1" applyFill="1" applyBorder="1"/>
    <xf numFmtId="169" fontId="36" fillId="11" borderId="11" xfId="0" applyNumberFormat="1" applyFont="1" applyFill="1" applyBorder="1" applyAlignment="1">
      <alignment horizontal="right"/>
    </xf>
    <xf numFmtId="0" fontId="28" fillId="11" borderId="11" xfId="0" applyFont="1" applyFill="1" applyBorder="1" applyAlignment="1">
      <alignment horizontal="right"/>
    </xf>
    <xf numFmtId="0" fontId="21" fillId="11" borderId="0" xfId="0" applyFont="1" applyFill="1"/>
    <xf numFmtId="169" fontId="6" fillId="11" borderId="0" xfId="0" applyNumberFormat="1" applyFont="1" applyFill="1"/>
    <xf numFmtId="0" fontId="21" fillId="15" borderId="9" xfId="0" applyFont="1" applyFill="1" applyBorder="1"/>
    <xf numFmtId="0" fontId="6" fillId="11" borderId="7" xfId="0" applyFont="1" applyFill="1" applyBorder="1"/>
    <xf numFmtId="0" fontId="6" fillId="11" borderId="8" xfId="0" applyFont="1" applyFill="1" applyBorder="1"/>
    <xf numFmtId="169" fontId="6" fillId="11" borderId="8" xfId="0" applyNumberFormat="1" applyFont="1" applyFill="1" applyBorder="1"/>
    <xf numFmtId="164" fontId="6" fillId="11" borderId="8" xfId="0" applyNumberFormat="1" applyFont="1" applyFill="1" applyBorder="1"/>
    <xf numFmtId="0" fontId="6" fillId="11" borderId="8" xfId="0" applyFont="1" applyFill="1" applyBorder="1" applyAlignment="1">
      <alignment horizontal="right"/>
    </xf>
    <xf numFmtId="164" fontId="37" fillId="11" borderId="0" xfId="0" applyNumberFormat="1" applyFont="1" applyFill="1"/>
    <xf numFmtId="169" fontId="37" fillId="11" borderId="0" xfId="0" applyNumberFormat="1" applyFont="1" applyFill="1"/>
    <xf numFmtId="164" fontId="26" fillId="11" borderId="0" xfId="0" applyNumberFormat="1" applyFont="1" applyFill="1"/>
    <xf numFmtId="169" fontId="26" fillId="11" borderId="0" xfId="0" applyNumberFormat="1" applyFont="1" applyFill="1"/>
    <xf numFmtId="2" fontId="26" fillId="11" borderId="0" xfId="0" applyNumberFormat="1" applyFont="1" applyFill="1"/>
    <xf numFmtId="0" fontId="26" fillId="11" borderId="0" xfId="0" applyFont="1" applyFill="1"/>
    <xf numFmtId="0" fontId="26" fillId="11" borderId="0" xfId="0" applyFont="1" applyFill="1" applyAlignment="1">
      <alignment horizontal="right"/>
    </xf>
    <xf numFmtId="11" fontId="26" fillId="11" borderId="0" xfId="0" applyNumberFormat="1" applyFont="1" applyFill="1"/>
    <xf numFmtId="2" fontId="26" fillId="11" borderId="0" xfId="0" applyNumberFormat="1" applyFont="1" applyFill="1" applyBorder="1"/>
    <xf numFmtId="0" fontId="28" fillId="11" borderId="9" xfId="0" applyFont="1" applyFill="1" applyBorder="1"/>
    <xf numFmtId="0" fontId="26" fillId="11" borderId="0" xfId="0" applyFont="1" applyFill="1" applyAlignment="1">
      <alignment horizontal="right" vertical="top"/>
    </xf>
    <xf numFmtId="0" fontId="23" fillId="14" borderId="0" xfId="0" applyFont="1" applyFill="1"/>
    <xf numFmtId="169" fontId="23" fillId="14" borderId="0" xfId="0" applyNumberFormat="1" applyFont="1" applyFill="1"/>
    <xf numFmtId="0" fontId="29" fillId="14" borderId="0" xfId="0" applyFont="1" applyFill="1"/>
    <xf numFmtId="0" fontId="0" fillId="18" borderId="0" xfId="0" applyFill="1"/>
    <xf numFmtId="0" fontId="23" fillId="18" borderId="0" xfId="0" applyFont="1" applyFill="1"/>
    <xf numFmtId="169" fontId="23" fillId="18" borderId="0" xfId="0" applyNumberFormat="1" applyFont="1" applyFill="1"/>
    <xf numFmtId="0" fontId="29" fillId="18" borderId="0" xfId="0" applyFont="1" applyFill="1"/>
    <xf numFmtId="0" fontId="12" fillId="18" borderId="0" xfId="0" applyFont="1" applyFill="1" applyAlignment="1">
      <alignment horizontal="right"/>
    </xf>
    <xf numFmtId="0" fontId="1" fillId="18" borderId="0" xfId="0" applyFont="1" applyFill="1"/>
    <xf numFmtId="169" fontId="25" fillId="18" borderId="0" xfId="0" applyNumberFormat="1" applyFont="1" applyFill="1" applyAlignment="1">
      <alignment horizontal="right"/>
    </xf>
    <xf numFmtId="0" fontId="0" fillId="18" borderId="0" xfId="0" applyFill="1" applyAlignment="1">
      <alignment horizontal="right"/>
    </xf>
    <xf numFmtId="0" fontId="26" fillId="18" borderId="0" xfId="0" applyFont="1" applyFill="1"/>
    <xf numFmtId="0" fontId="0" fillId="18" borderId="0" xfId="0" applyFill="1" applyAlignment="1">
      <alignment horizontal="right" vertical="top"/>
    </xf>
    <xf numFmtId="0" fontId="1" fillId="12" borderId="4" xfId="0" applyFont="1" applyFill="1" applyBorder="1"/>
    <xf numFmtId="0" fontId="0" fillId="19" borderId="1" xfId="0" applyFill="1" applyBorder="1"/>
    <xf numFmtId="0" fontId="0" fillId="19" borderId="6" xfId="0" applyFill="1" applyBorder="1"/>
    <xf numFmtId="0" fontId="0" fillId="20" borderId="0" xfId="0" applyFill="1"/>
    <xf numFmtId="0" fontId="0" fillId="21" borderId="1" xfId="0" applyFill="1" applyBorder="1"/>
    <xf numFmtId="0" fontId="0" fillId="22" borderId="4" xfId="0" applyFill="1" applyBorder="1"/>
    <xf numFmtId="0" fontId="1" fillId="12" borderId="5" xfId="0" applyFont="1" applyFill="1" applyBorder="1"/>
    <xf numFmtId="0" fontId="20" fillId="15" borderId="0" xfId="0" applyFont="1" applyFill="1"/>
    <xf numFmtId="0" fontId="32" fillId="8" borderId="0" xfId="0" applyFont="1" applyFill="1"/>
    <xf numFmtId="0" fontId="0" fillId="11" borderId="0" xfId="0" applyFill="1" applyBorder="1" applyAlignment="1">
      <alignment vertical="top"/>
    </xf>
    <xf numFmtId="0" fontId="23" fillId="11" borderId="9" xfId="0" applyFont="1" applyFill="1" applyBorder="1"/>
    <xf numFmtId="0" fontId="6" fillId="11" borderId="11" xfId="0" applyFont="1" applyFill="1" applyBorder="1"/>
    <xf numFmtId="0" fontId="32" fillId="11" borderId="11" xfId="0" applyFont="1" applyFill="1" applyBorder="1" applyAlignment="1">
      <alignment vertical="top"/>
    </xf>
    <xf numFmtId="164" fontId="6" fillId="11" borderId="11" xfId="0" applyNumberFormat="1" applyFont="1" applyFill="1" applyBorder="1"/>
    <xf numFmtId="0" fontId="6" fillId="11" borderId="11" xfId="0" applyFont="1" applyFill="1" applyBorder="1" applyAlignment="1">
      <alignment horizontal="right"/>
    </xf>
    <xf numFmtId="0" fontId="25" fillId="11" borderId="11" xfId="0" applyFont="1" applyFill="1" applyBorder="1"/>
    <xf numFmtId="164" fontId="38" fillId="11" borderId="8" xfId="0" applyNumberFormat="1" applyFont="1" applyFill="1" applyBorder="1"/>
    <xf numFmtId="164" fontId="34" fillId="11" borderId="11" xfId="0" applyNumberFormat="1" applyFont="1" applyFill="1" applyBorder="1"/>
    <xf numFmtId="168" fontId="43" fillId="11" borderId="11" xfId="0" applyNumberFormat="1" applyFont="1" applyFill="1" applyBorder="1"/>
    <xf numFmtId="0" fontId="43" fillId="11" borderId="11" xfId="0" applyFont="1" applyFill="1" applyBorder="1"/>
    <xf numFmtId="0" fontId="34" fillId="0" borderId="0" xfId="0" applyFont="1"/>
    <xf numFmtId="0" fontId="44" fillId="0" borderId="0" xfId="0" applyFont="1" applyFill="1" applyBorder="1"/>
    <xf numFmtId="0" fontId="0" fillId="11" borderId="0" xfId="0" applyNumberFormat="1" applyFill="1"/>
    <xf numFmtId="1" fontId="25" fillId="11" borderId="0" xfId="0" applyNumberFormat="1" applyFont="1" applyFill="1"/>
    <xf numFmtId="0" fontId="13" fillId="11" borderId="0" xfId="0" applyFont="1" applyFill="1" applyAlignment="1">
      <alignment horizontal="right" vertical="top"/>
    </xf>
    <xf numFmtId="0" fontId="31" fillId="0" borderId="0" xfId="0" applyFont="1"/>
    <xf numFmtId="0" fontId="31" fillId="4" borderId="1" xfId="0" applyFont="1" applyFill="1" applyBorder="1"/>
    <xf numFmtId="0" fontId="31" fillId="4" borderId="6" xfId="0" applyFont="1" applyFill="1" applyBorder="1"/>
    <xf numFmtId="0" fontId="31" fillId="5" borderId="0" xfId="0" applyFont="1" applyFill="1"/>
    <xf numFmtId="0" fontId="31" fillId="6" borderId="1" xfId="0" applyFont="1" applyFill="1" applyBorder="1"/>
    <xf numFmtId="2" fontId="31" fillId="6" borderId="1" xfId="0" applyNumberFormat="1" applyFont="1" applyFill="1" applyBorder="1"/>
    <xf numFmtId="0" fontId="31" fillId="7" borderId="4" xfId="0" applyFont="1" applyFill="1" applyBorder="1"/>
    <xf numFmtId="0" fontId="46" fillId="0" borderId="0" xfId="0" applyFont="1"/>
    <xf numFmtId="0" fontId="45" fillId="0" borderId="0" xfId="0" applyFont="1" applyFill="1" applyBorder="1"/>
    <xf numFmtId="0" fontId="31" fillId="6" borderId="3" xfId="0" applyFont="1" applyFill="1" applyBorder="1"/>
    <xf numFmtId="0" fontId="31" fillId="21" borderId="1" xfId="0" applyFont="1" applyFill="1" applyBorder="1"/>
    <xf numFmtId="0" fontId="37" fillId="11" borderId="0" xfId="0" applyFont="1" applyFill="1" applyAlignment="1">
      <alignment horizontal="right"/>
    </xf>
    <xf numFmtId="0" fontId="29" fillId="11" borderId="0" xfId="0" applyFont="1" applyFill="1"/>
    <xf numFmtId="9" fontId="26" fillId="11" borderId="0" xfId="4" applyFont="1" applyFill="1"/>
    <xf numFmtId="0" fontId="26" fillId="11" borderId="0" xfId="0" applyFont="1" applyFill="1" applyAlignment="1">
      <alignment horizontal="center"/>
    </xf>
    <xf numFmtId="0" fontId="27" fillId="11" borderId="0" xfId="0" applyFont="1" applyFill="1" applyAlignment="1">
      <alignment horizontal="right" vertical="top"/>
    </xf>
    <xf numFmtId="0" fontId="26" fillId="11" borderId="0" xfId="0" applyFont="1" applyFill="1" applyBorder="1" applyAlignment="1">
      <alignment horizontal="right" vertical="top"/>
    </xf>
    <xf numFmtId="0" fontId="30" fillId="11" borderId="0" xfId="0" applyFont="1" applyFill="1"/>
    <xf numFmtId="0" fontId="47" fillId="11" borderId="0" xfId="0" applyFont="1" applyFill="1" applyBorder="1" applyAlignment="1">
      <alignment horizontal="right"/>
    </xf>
    <xf numFmtId="14" fontId="0" fillId="0" borderId="0" xfId="0" applyNumberFormat="1"/>
    <xf numFmtId="0" fontId="33" fillId="11" borderId="0" xfId="1" applyFont="1" applyFill="1"/>
    <xf numFmtId="10" fontId="14" fillId="11" borderId="0" xfId="1" applyNumberFormat="1" applyFont="1" applyFill="1"/>
    <xf numFmtId="0" fontId="14" fillId="11" borderId="0" xfId="1" applyFont="1" applyFill="1"/>
    <xf numFmtId="0" fontId="38" fillId="11" borderId="0" xfId="0" applyFont="1" applyFill="1"/>
    <xf numFmtId="169" fontId="21" fillId="15" borderId="0" xfId="0" applyNumberFormat="1" applyFont="1" applyFill="1"/>
    <xf numFmtId="0" fontId="39" fillId="15" borderId="0" xfId="0" applyFont="1" applyFill="1"/>
    <xf numFmtId="2" fontId="39" fillId="15" borderId="0" xfId="0" applyNumberFormat="1" applyFont="1" applyFill="1"/>
    <xf numFmtId="2" fontId="34" fillId="11" borderId="0" xfId="0" applyNumberFormat="1" applyFont="1" applyFill="1"/>
    <xf numFmtId="0" fontId="34" fillId="11" borderId="0" xfId="0" applyFont="1" applyFill="1"/>
    <xf numFmtId="166" fontId="34" fillId="11" borderId="0" xfId="0" applyNumberFormat="1" applyFont="1" applyFill="1"/>
    <xf numFmtId="0" fontId="20" fillId="16" borderId="0" xfId="0" applyFont="1" applyFill="1"/>
    <xf numFmtId="169" fontId="0" fillId="11" borderId="0" xfId="0" applyNumberFormat="1" applyFill="1" applyAlignment="1">
      <alignment horizontal="right"/>
    </xf>
    <xf numFmtId="9" fontId="19" fillId="11" borderId="0" xfId="4" applyFill="1"/>
    <xf numFmtId="166" fontId="0" fillId="11" borderId="0" xfId="0" applyNumberFormat="1" applyFill="1" applyAlignment="1">
      <alignment horizontal="right"/>
    </xf>
    <xf numFmtId="169" fontId="11" fillId="11" borderId="0" xfId="0" applyNumberFormat="1" applyFont="1" applyFill="1"/>
    <xf numFmtId="166" fontId="40" fillId="11" borderId="0" xfId="0" applyNumberFormat="1" applyFont="1" applyFill="1" applyAlignment="1">
      <alignment horizontal="center"/>
    </xf>
    <xf numFmtId="0" fontId="0" fillId="11" borderId="0" xfId="0" applyFill="1" applyAlignment="1">
      <alignment horizontal="center"/>
    </xf>
    <xf numFmtId="171" fontId="0" fillId="11" borderId="0" xfId="0" applyNumberFormat="1" applyFill="1"/>
    <xf numFmtId="0" fontId="41" fillId="11" borderId="0" xfId="0" applyFont="1" applyFill="1" applyAlignment="1">
      <alignment horizontal="center"/>
    </xf>
    <xf numFmtId="0" fontId="7" fillId="11" borderId="0" xfId="0" applyFont="1" applyFill="1"/>
    <xf numFmtId="164" fontId="9" fillId="11" borderId="0" xfId="0" applyNumberFormat="1" applyFont="1" applyFill="1"/>
    <xf numFmtId="169" fontId="40" fillId="11" borderId="0" xfId="0" applyNumberFormat="1" applyFont="1" applyFill="1"/>
    <xf numFmtId="169" fontId="13" fillId="11" borderId="0" xfId="0" applyNumberFormat="1" applyFont="1" applyFill="1" applyAlignment="1">
      <alignment horizontal="right"/>
    </xf>
    <xf numFmtId="1" fontId="13" fillId="11" borderId="0" xfId="0" applyNumberFormat="1" applyFont="1" applyFill="1" applyAlignment="1">
      <alignment horizontal="right"/>
    </xf>
    <xf numFmtId="0" fontId="42" fillId="11" borderId="0" xfId="0" applyFont="1" applyFill="1"/>
    <xf numFmtId="0" fontId="19" fillId="0" borderId="0" xfId="5"/>
    <xf numFmtId="0" fontId="15" fillId="11" borderId="0" xfId="3" applyFill="1" applyAlignment="1" applyProtection="1"/>
    <xf numFmtId="169" fontId="1" fillId="11" borderId="0" xfId="0" applyNumberFormat="1" applyFont="1" applyFill="1"/>
    <xf numFmtId="0" fontId="0" fillId="11" borderId="12" xfId="0" applyFill="1" applyBorder="1" applyAlignment="1">
      <alignment horizontal="right" vertical="top"/>
    </xf>
    <xf numFmtId="0" fontId="25" fillId="23" borderId="12" xfId="0" applyFont="1" applyFill="1" applyBorder="1"/>
    <xf numFmtId="0" fontId="0" fillId="11" borderId="12" xfId="0" applyFill="1" applyBorder="1"/>
    <xf numFmtId="0" fontId="13" fillId="11" borderId="12" xfId="0" applyFont="1" applyFill="1" applyBorder="1" applyAlignment="1">
      <alignment horizontal="right"/>
    </xf>
    <xf numFmtId="0" fontId="0" fillId="24" borderId="0" xfId="0" applyFill="1"/>
    <xf numFmtId="169" fontId="0" fillId="24" borderId="0" xfId="0" applyNumberFormat="1" applyFill="1"/>
    <xf numFmtId="164" fontId="26" fillId="24" borderId="0" xfId="0" applyNumberFormat="1" applyFont="1" applyFill="1"/>
    <xf numFmtId="169" fontId="26" fillId="24" borderId="0" xfId="0" applyNumberFormat="1" applyFont="1" applyFill="1"/>
    <xf numFmtId="0" fontId="6" fillId="24" borderId="0" xfId="0" applyFont="1" applyFill="1"/>
    <xf numFmtId="0" fontId="1" fillId="24" borderId="0" xfId="0" applyFont="1" applyFill="1"/>
    <xf numFmtId="2" fontId="26" fillId="24" borderId="0" xfId="0" applyNumberFormat="1" applyFont="1" applyFill="1"/>
    <xf numFmtId="0" fontId="26" fillId="24" borderId="0" xfId="0" applyFont="1" applyFill="1"/>
    <xf numFmtId="0" fontId="13" fillId="24" borderId="0" xfId="0" applyFont="1" applyFill="1" applyAlignment="1">
      <alignment horizontal="right"/>
    </xf>
    <xf numFmtId="0" fontId="25" fillId="24" borderId="0" xfId="0" applyFont="1" applyFill="1"/>
    <xf numFmtId="0" fontId="0" fillId="24" borderId="0" xfId="0" applyFill="1" applyBorder="1" applyAlignment="1">
      <alignment horizontal="right"/>
    </xf>
    <xf numFmtId="0" fontId="0" fillId="24" borderId="0" xfId="0" applyFill="1" applyAlignment="1">
      <alignment horizontal="right"/>
    </xf>
    <xf numFmtId="0" fontId="16" fillId="24" borderId="0" xfId="1" applyFill="1"/>
    <xf numFmtId="0" fontId="23" fillId="25" borderId="0" xfId="0" applyFont="1" applyFill="1"/>
    <xf numFmtId="169" fontId="0" fillId="11" borderId="0" xfId="0" applyNumberFormat="1" applyFont="1" applyFill="1" applyBorder="1"/>
    <xf numFmtId="169" fontId="0" fillId="11" borderId="0" xfId="0" applyNumberFormat="1" applyFont="1" applyFill="1"/>
    <xf numFmtId="0" fontId="48" fillId="0" borderId="4" xfId="0" applyFont="1" applyFill="1" applyBorder="1"/>
    <xf numFmtId="0" fontId="48" fillId="4" borderId="3" xfId="0" applyFont="1" applyFill="1" applyBorder="1"/>
    <xf numFmtId="0" fontId="48" fillId="25" borderId="4" xfId="0" applyFont="1" applyFill="1" applyBorder="1"/>
    <xf numFmtId="0" fontId="48" fillId="4" borderId="1" xfId="0" applyFont="1" applyFill="1" applyBorder="1"/>
    <xf numFmtId="0" fontId="48" fillId="9" borderId="4" xfId="0" applyFont="1" applyFill="1" applyBorder="1"/>
    <xf numFmtId="0" fontId="48" fillId="13" borderId="4" xfId="0" applyFont="1" applyFill="1" applyBorder="1"/>
    <xf numFmtId="0" fontId="48" fillId="15" borderId="4" xfId="0" applyFont="1" applyFill="1" applyBorder="1"/>
    <xf numFmtId="0" fontId="48" fillId="18" borderId="4" xfId="0" applyFont="1" applyFill="1" applyBorder="1"/>
    <xf numFmtId="0" fontId="49" fillId="4" borderId="1" xfId="0" applyFont="1" applyFill="1" applyBorder="1"/>
    <xf numFmtId="0" fontId="48" fillId="26" borderId="4" xfId="0" applyFont="1" applyFill="1" applyBorder="1"/>
    <xf numFmtId="0" fontId="48" fillId="27" borderId="4" xfId="0" applyFont="1" applyFill="1" applyBorder="1"/>
    <xf numFmtId="0" fontId="48" fillId="17" borderId="4" xfId="0" applyFont="1" applyFill="1" applyBorder="1"/>
    <xf numFmtId="0" fontId="48" fillId="28" borderId="4" xfId="0" applyFont="1" applyFill="1" applyBorder="1"/>
    <xf numFmtId="0" fontId="48" fillId="29" borderId="4" xfId="0" applyFont="1" applyFill="1" applyBorder="1"/>
    <xf numFmtId="0" fontId="50" fillId="4" borderId="1" xfId="0" applyFont="1" applyFill="1" applyBorder="1"/>
    <xf numFmtId="169" fontId="1" fillId="11" borderId="0" xfId="0" applyNumberFormat="1" applyFont="1" applyFill="1" applyAlignment="1">
      <alignment horizontal="right"/>
    </xf>
    <xf numFmtId="0" fontId="19" fillId="0" borderId="13" xfId="5" applyBorder="1"/>
    <xf numFmtId="0" fontId="13" fillId="11" borderId="0" xfId="0" applyFont="1" applyFill="1" applyBorder="1" applyAlignment="1">
      <alignment horizontal="right"/>
    </xf>
    <xf numFmtId="0" fontId="0" fillId="31" borderId="1" xfId="0" applyFill="1" applyBorder="1"/>
    <xf numFmtId="0" fontId="0" fillId="32" borderId="1" xfId="0" applyFill="1" applyBorder="1"/>
    <xf numFmtId="0" fontId="23" fillId="30" borderId="1" xfId="0" applyFont="1" applyFill="1" applyBorder="1"/>
    <xf numFmtId="0" fontId="0" fillId="0" borderId="1" xfId="0" applyFill="1" applyBorder="1"/>
    <xf numFmtId="0" fontId="0" fillId="33" borderId="0" xfId="0" applyFill="1"/>
    <xf numFmtId="0" fontId="0" fillId="34" borderId="14" xfId="0" applyFill="1" applyBorder="1"/>
    <xf numFmtId="169" fontId="1" fillId="10" borderId="0" xfId="0" applyNumberFormat="1" applyFont="1" applyFill="1"/>
    <xf numFmtId="172" fontId="0" fillId="10" borderId="0" xfId="0" applyNumberFormat="1" applyFill="1"/>
    <xf numFmtId="169" fontId="1" fillId="24" borderId="0" xfId="0" applyNumberFormat="1" applyFont="1" applyFill="1"/>
    <xf numFmtId="0" fontId="0" fillId="11" borderId="0" xfId="0" applyFont="1" applyFill="1"/>
    <xf numFmtId="0" fontId="0" fillId="11" borderId="0" xfId="0" applyFont="1" applyFill="1" applyAlignment="1">
      <alignment horizontal="right"/>
    </xf>
    <xf numFmtId="168" fontId="26" fillId="11" borderId="0" xfId="0" applyNumberFormat="1" applyFont="1" applyFill="1"/>
    <xf numFmtId="0" fontId="25" fillId="11" borderId="0" xfId="0" applyFont="1" applyFill="1" applyAlignment="1">
      <alignment wrapText="1"/>
    </xf>
    <xf numFmtId="0" fontId="25" fillId="11" borderId="0" xfId="0" applyFont="1" applyFill="1" applyBorder="1" applyAlignment="1">
      <alignment wrapText="1"/>
    </xf>
    <xf numFmtId="0" fontId="0" fillId="11" borderId="0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24" borderId="0" xfId="0" applyFill="1" applyAlignment="1">
      <alignment wrapText="1"/>
    </xf>
    <xf numFmtId="0" fontId="0" fillId="10" borderId="0" xfId="0" applyFill="1" applyAlignment="1">
      <alignment wrapText="1"/>
    </xf>
    <xf numFmtId="0" fontId="25" fillId="10" borderId="0" xfId="0" applyFont="1" applyFill="1" applyAlignment="1">
      <alignment wrapText="1"/>
    </xf>
    <xf numFmtId="0" fontId="0" fillId="24" borderId="0" xfId="0" applyFill="1" applyBorder="1" applyAlignment="1">
      <alignment wrapText="1"/>
    </xf>
    <xf numFmtId="0" fontId="13" fillId="11" borderId="0" xfId="0" applyFont="1" applyFill="1" applyAlignment="1">
      <alignment wrapText="1"/>
    </xf>
    <xf numFmtId="0" fontId="16" fillId="11" borderId="0" xfId="1" applyFill="1" applyAlignment="1">
      <alignment wrapText="1"/>
    </xf>
    <xf numFmtId="0" fontId="12" fillId="18" borderId="0" xfId="0" applyFont="1" applyFill="1" applyAlignment="1">
      <alignment wrapText="1"/>
    </xf>
    <xf numFmtId="169" fontId="0" fillId="11" borderId="0" xfId="0" applyNumberFormat="1" applyFill="1" applyAlignment="1">
      <alignment wrapText="1"/>
    </xf>
    <xf numFmtId="0" fontId="19" fillId="0" borderId="0" xfId="5" applyAlignment="1">
      <alignment wrapText="1"/>
    </xf>
    <xf numFmtId="0" fontId="0" fillId="10" borderId="0" xfId="0" applyFill="1" applyBorder="1" applyAlignment="1">
      <alignment wrapText="1"/>
    </xf>
    <xf numFmtId="0" fontId="23" fillId="18" borderId="0" xfId="0" applyFont="1" applyFill="1" applyAlignment="1">
      <alignment wrapText="1"/>
    </xf>
    <xf numFmtId="169" fontId="0" fillId="24" borderId="0" xfId="0" applyNumberFormat="1" applyFill="1" applyAlignment="1">
      <alignment wrapText="1"/>
    </xf>
    <xf numFmtId="0" fontId="13" fillId="24" borderId="0" xfId="0" applyFont="1" applyFill="1" applyAlignment="1">
      <alignment wrapText="1"/>
    </xf>
    <xf numFmtId="0" fontId="25" fillId="24" borderId="0" xfId="0" applyFont="1" applyFill="1" applyAlignment="1">
      <alignment wrapText="1"/>
    </xf>
    <xf numFmtId="0" fontId="0" fillId="18" borderId="0" xfId="0" applyFill="1" applyAlignment="1">
      <alignment wrapText="1"/>
    </xf>
    <xf numFmtId="173" fontId="0" fillId="11" borderId="0" xfId="0" applyNumberFormat="1" applyFill="1" applyAlignment="1">
      <alignment wrapText="1"/>
    </xf>
    <xf numFmtId="0" fontId="19" fillId="0" borderId="13" xfId="5" applyBorder="1" applyAlignment="1">
      <alignment wrapText="1"/>
    </xf>
    <xf numFmtId="0" fontId="44" fillId="11" borderId="0" xfId="1" applyFont="1" applyFill="1" applyAlignment="1">
      <alignment wrapText="1"/>
    </xf>
    <xf numFmtId="0" fontId="0" fillId="11" borderId="0" xfId="0" applyFont="1" applyFill="1" applyAlignment="1">
      <alignment wrapText="1"/>
    </xf>
    <xf numFmtId="0" fontId="22" fillId="11" borderId="0" xfId="2" applyFill="1" applyAlignment="1">
      <alignment wrapText="1"/>
    </xf>
    <xf numFmtId="170" fontId="25" fillId="11" borderId="0" xfId="0" applyNumberFormat="1" applyFont="1" applyFill="1" applyAlignment="1">
      <alignment wrapText="1"/>
    </xf>
    <xf numFmtId="0" fontId="7" fillId="11" borderId="0" xfId="0" applyFont="1" applyFill="1" applyBorder="1" applyAlignment="1">
      <alignment wrapText="1"/>
    </xf>
    <xf numFmtId="0" fontId="25" fillId="8" borderId="0" xfId="0" applyFont="1" applyFill="1" applyAlignment="1">
      <alignment wrapText="1"/>
    </xf>
    <xf numFmtId="0" fontId="25" fillId="14" borderId="0" xfId="0" applyFont="1" applyFill="1" applyAlignment="1">
      <alignment wrapText="1"/>
    </xf>
    <xf numFmtId="0" fontId="25" fillId="9" borderId="0" xfId="0" applyFont="1" applyFill="1" applyAlignment="1">
      <alignment wrapText="1"/>
    </xf>
    <xf numFmtId="0" fontId="25" fillId="13" borderId="0" xfId="0" applyFont="1" applyFill="1" applyAlignment="1">
      <alignment wrapText="1"/>
    </xf>
    <xf numFmtId="0" fontId="20" fillId="15" borderId="0" xfId="0" applyFont="1" applyFill="1" applyAlignment="1">
      <alignment wrapText="1"/>
    </xf>
    <xf numFmtId="0" fontId="24" fillId="11" borderId="0" xfId="0" applyFont="1" applyFill="1" applyAlignment="1">
      <alignment wrapText="1"/>
    </xf>
    <xf numFmtId="0" fontId="28" fillId="11" borderId="11" xfId="0" applyFont="1" applyFill="1" applyBorder="1" applyAlignment="1">
      <alignment wrapText="1"/>
    </xf>
    <xf numFmtId="0" fontId="20" fillId="26" borderId="0" xfId="0" applyFont="1" applyFill="1" applyAlignment="1">
      <alignment wrapText="1"/>
    </xf>
    <xf numFmtId="0" fontId="20" fillId="16" borderId="0" xfId="0" applyFont="1" applyFill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45" fillId="0" borderId="2" xfId="0" applyFont="1" applyFill="1" applyBorder="1" applyAlignment="1">
      <alignment wrapText="1"/>
    </xf>
    <xf numFmtId="9" fontId="0" fillId="11" borderId="0" xfId="0" applyNumberFormat="1" applyFill="1"/>
    <xf numFmtId="9" fontId="23" fillId="11" borderId="0" xfId="0" applyNumberFormat="1" applyFont="1" applyFill="1"/>
    <xf numFmtId="9" fontId="0" fillId="11" borderId="0" xfId="0" applyNumberFormat="1" applyFill="1" applyBorder="1"/>
    <xf numFmtId="0" fontId="0" fillId="11" borderId="0" xfId="0" applyNumberFormat="1" applyFill="1" applyBorder="1"/>
    <xf numFmtId="9" fontId="25" fillId="11" borderId="0" xfId="0" applyNumberFormat="1" applyFont="1" applyFill="1"/>
    <xf numFmtId="0" fontId="19" fillId="0" borderId="0" xfId="5" applyBorder="1"/>
    <xf numFmtId="11" fontId="25" fillId="11" borderId="0" xfId="0" applyNumberFormat="1" applyFont="1" applyFill="1"/>
    <xf numFmtId="11" fontId="25" fillId="11" borderId="0" xfId="0" applyNumberFormat="1" applyFont="1" applyFill="1" applyBorder="1"/>
    <xf numFmtId="11" fontId="29" fillId="9" borderId="0" xfId="0" applyNumberFormat="1" applyFont="1" applyFill="1"/>
    <xf numFmtId="11" fontId="26" fillId="10" borderId="0" xfId="0" applyNumberFormat="1" applyFont="1" applyFill="1"/>
    <xf numFmtId="11" fontId="26" fillId="24" borderId="0" xfId="0" applyNumberFormat="1" applyFont="1" applyFill="1"/>
    <xf numFmtId="11" fontId="29" fillId="14" borderId="0" xfId="0" applyNumberFormat="1" applyFont="1" applyFill="1"/>
    <xf numFmtId="11" fontId="29" fillId="18" borderId="0" xfId="0" applyNumberFormat="1" applyFont="1" applyFill="1"/>
    <xf numFmtId="11" fontId="35" fillId="18" borderId="0" xfId="0" applyNumberFormat="1" applyFont="1" applyFill="1"/>
    <xf numFmtId="11" fontId="26" fillId="11" borderId="0" xfId="0" applyNumberFormat="1" applyFont="1" applyFill="1" applyBorder="1"/>
    <xf numFmtId="11" fontId="0" fillId="11" borderId="0" xfId="0" applyNumberFormat="1" applyFill="1"/>
    <xf numFmtId="11" fontId="8" fillId="11" borderId="0" xfId="0" applyNumberFormat="1" applyFont="1" applyFill="1" applyBorder="1" applyAlignment="1">
      <alignment horizontal="center"/>
    </xf>
    <xf numFmtId="169" fontId="10" fillId="11" borderId="0" xfId="0" applyNumberFormat="1" applyFont="1" applyFill="1"/>
  </cellXfs>
  <cellStyles count="6">
    <cellStyle name="Comment" xfId="1" xr:uid="{00000000-0005-0000-0000-000000000000}"/>
    <cellStyle name="Forklarende tekst" xfId="2" builtinId="53"/>
    <cellStyle name="Hyperkobling" xfId="3" builtinId="8"/>
    <cellStyle name="Normal" xfId="0" builtinId="0"/>
    <cellStyle name="Normal 5" xfId="5" xr:uid="{E8A58D39-CFC5-F94C-8314-72DEE1EAD62D}"/>
    <cellStyle name="Prosent" xfId="4" builtinId="5"/>
  </cellStyles>
  <dxfs count="0"/>
  <tableStyles count="0" defaultTableStyle="TableStyleMedium9" defaultPivotStyle="PivotStyleLight16"/>
  <colors>
    <mruColors>
      <color rgb="FF00B050"/>
      <color rgb="FFFF8080"/>
      <color rgb="FFCCFFCC"/>
      <color rgb="FFFDE9D9"/>
      <color rgb="FFE4DFEC"/>
      <color rgb="FFC795C0"/>
      <color rgb="FFB1A0C7"/>
      <color rgb="FF60497A"/>
      <color rgb="FF7030A0"/>
      <color rgb="FFFFB3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J:/Thesis/Data/Battery_ERN6_dev_01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:/J:/Thesis/Data/Battery_Linda_de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:/J:/Thesis/Data/other/Copy%20of%20Majeau-Bettez_etal_Ecar2011_BatteryLC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C:/J:/Thesis/Data/Guillaume_etal_Ecar2011_BatteryLC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juliesga/Documents/Siemens%20battery%20v3.0%20market%20for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Foreground"/>
      <sheetName val="A_bf"/>
      <sheetName val="F_f"/>
      <sheetName val="y_gen"/>
      <sheetName val="Version"/>
      <sheetName val="1_ERN6"/>
      <sheetName val="2_Battery_packaging"/>
      <sheetName val="3_BMS"/>
      <sheetName val="4_Battery_module"/>
      <sheetName val="52_LiNiCoMnO2"/>
      <sheetName val="57_LiPF6"/>
      <sheetName val="Check"/>
      <sheetName val="Materials"/>
      <sheetName val="Parameters"/>
      <sheetName val="Stressor_convers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56">
          <cell r="C56">
            <v>157.7576</v>
          </cell>
        </row>
        <row r="67">
          <cell r="E67">
            <v>0.86199999999999999</v>
          </cell>
        </row>
        <row r="71">
          <cell r="B71">
            <v>1.6021764869999998E-19</v>
          </cell>
        </row>
        <row r="72">
          <cell r="B72">
            <v>6.0221417899999992E+23</v>
          </cell>
        </row>
      </sheetData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Foreground"/>
      <sheetName val="A_bf"/>
      <sheetName val="F_f"/>
      <sheetName val="y_gen"/>
      <sheetName val="Version"/>
      <sheetName val="1_Battery_tray_complete"/>
      <sheetName val="2_Battery_packaging"/>
      <sheetName val="3_BMS"/>
      <sheetName val="4_Battery_boxes"/>
      <sheetName val="19_Battery_module"/>
      <sheetName val="60_LiNiCoMnO2"/>
      <sheetName val="65_LiPF6"/>
      <sheetName val="Check"/>
      <sheetName val="Materials"/>
      <sheetName val="Parameters"/>
      <sheetName val="Stressor_convers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5">
          <cell r="C5">
            <v>54.938048999999999</v>
          </cell>
        </row>
        <row r="6">
          <cell r="C6">
            <v>58.933199999999999</v>
          </cell>
        </row>
        <row r="7">
          <cell r="C7">
            <v>58.693399999999997</v>
          </cell>
        </row>
        <row r="9">
          <cell r="C9">
            <v>15.9994</v>
          </cell>
        </row>
        <row r="10">
          <cell r="C10">
            <v>32.064999999999998</v>
          </cell>
        </row>
        <row r="11">
          <cell r="C11">
            <v>22.98977</v>
          </cell>
        </row>
        <row r="12">
          <cell r="C12">
            <v>1.0097</v>
          </cell>
        </row>
        <row r="23">
          <cell r="C23">
            <v>18.018799999999999</v>
          </cell>
        </row>
        <row r="25">
          <cell r="C25">
            <v>96.179019600000004</v>
          </cell>
        </row>
        <row r="29">
          <cell r="C29">
            <v>73.891000000000005</v>
          </cell>
        </row>
        <row r="32">
          <cell r="C32">
            <v>98.081999999999994</v>
          </cell>
        </row>
        <row r="33">
          <cell r="C33">
            <v>154.756</v>
          </cell>
        </row>
        <row r="34">
          <cell r="C34">
            <v>154.9958</v>
          </cell>
        </row>
        <row r="35">
          <cell r="C35">
            <v>151.00064900000001</v>
          </cell>
        </row>
        <row r="41">
          <cell r="C41">
            <v>74.093000000000004</v>
          </cell>
        </row>
        <row r="42">
          <cell r="C42">
            <v>23.948</v>
          </cell>
        </row>
        <row r="43">
          <cell r="C43">
            <v>41.96</v>
          </cell>
          <cell r="E43">
            <v>1.51</v>
          </cell>
        </row>
        <row r="44">
          <cell r="E44">
            <v>3.6316618352922716</v>
          </cell>
        </row>
      </sheetData>
      <sheetData sheetId="15" refreshError="1">
        <row r="48">
          <cell r="D48">
            <v>0.1</v>
          </cell>
        </row>
        <row r="49">
          <cell r="D49">
            <v>3.6</v>
          </cell>
        </row>
        <row r="57">
          <cell r="D57">
            <v>1</v>
          </cell>
        </row>
      </sheetData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fore"/>
      <sheetName val="backfore"/>
      <sheetName val="emissions"/>
      <sheetName val="My_Li_ion"/>
      <sheetName val="my_NiMH"/>
      <sheetName val="Material_Energy_Contents"/>
      <sheetName val="Materials"/>
      <sheetName val="Parameters"/>
      <sheetName val="production"/>
      <sheetName val="SideInvestigations"/>
      <sheetName val="References"/>
      <sheetName val="A_ff"/>
      <sheetName val="A_bf"/>
      <sheetName val="F_f"/>
      <sheetName val="PRO_f"/>
      <sheetName val="PRO_labels"/>
      <sheetName val="STR"/>
      <sheetName val="PRO_m"/>
      <sheetName val="A_mf"/>
      <sheetName val="A_bm"/>
      <sheetName val="fo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9">
          <cell r="D39">
            <v>1.8626666666666669</v>
          </cell>
        </row>
        <row r="45">
          <cell r="D45">
            <v>1.8519999999999999</v>
          </cell>
        </row>
        <row r="54">
          <cell r="D54">
            <v>1E-3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fore"/>
      <sheetName val="backfore"/>
      <sheetName val="emissions"/>
      <sheetName val="My_Li_ion"/>
      <sheetName val="my_NiMH"/>
      <sheetName val="Material_Energy_Contents"/>
      <sheetName val="Materials"/>
      <sheetName val="Parameters"/>
      <sheetName val="production"/>
      <sheetName val="SideInvestigations"/>
      <sheetName val="References"/>
      <sheetName val="A_ff"/>
      <sheetName val="A_bf"/>
      <sheetName val="F_f"/>
      <sheetName val="PRO_f"/>
      <sheetName val="PRO_labels"/>
      <sheetName val="STR"/>
      <sheetName val="PRO_m"/>
      <sheetName val="A_mf"/>
      <sheetName val="A_bm"/>
      <sheetName val="foo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>
            <v>54.938048999999999</v>
          </cell>
        </row>
      </sheetData>
      <sheetData sheetId="8">
        <row r="47">
          <cell r="D47">
            <v>0.60000000000000009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 to inventory"/>
      <sheetName val="LOG"/>
      <sheetName val="Foreground"/>
      <sheetName val="A_bf"/>
      <sheetName val="F_f"/>
      <sheetName val="y_gen"/>
      <sheetName val="Version"/>
      <sheetName val="1_Battery_pack"/>
      <sheetName val="2_Battery_packaging"/>
      <sheetName val="3_BMS"/>
      <sheetName val="4_Cooling_system"/>
      <sheetName val="5_Battery_cell"/>
      <sheetName val="43.PAM Majeau-Bettez et al.2011"/>
      <sheetName val="Old LiPF6 inventory "/>
    </sheetNames>
    <sheetDataSet>
      <sheetData sheetId="0"/>
      <sheetData sheetId="1"/>
      <sheetData sheetId="2">
        <row r="8">
          <cell r="A8">
            <v>5</v>
          </cell>
          <cell r="B8" t="str">
            <v>Battery cell</v>
          </cell>
        </row>
        <row r="12">
          <cell r="A12">
            <v>9</v>
          </cell>
          <cell r="B12" t="str">
            <v>Electrolyte</v>
          </cell>
        </row>
        <row r="13">
          <cell r="A13">
            <v>10</v>
          </cell>
          <cell r="B13" t="str">
            <v>Cathode</v>
          </cell>
        </row>
        <row r="14">
          <cell r="A14">
            <v>11</v>
          </cell>
          <cell r="B14" t="str">
            <v>Anode</v>
          </cell>
        </row>
        <row r="15">
          <cell r="A15">
            <v>12</v>
          </cell>
          <cell r="B15" t="str">
            <v>Cell container</v>
          </cell>
        </row>
        <row r="16">
          <cell r="A16">
            <v>13</v>
          </cell>
          <cell r="B16" t="str">
            <v>Separator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B7" t="str">
            <v>Positive active material (Li(NCM)O2)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ports.com/" TargetMode="External"/><Relationship Id="rId1" Type="http://schemas.openxmlformats.org/officeDocument/2006/relationships/hyperlink" Target="http://www.reiseplanung.de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6"/>
  <sheetViews>
    <sheetView workbookViewId="0">
      <selection activeCell="B5" sqref="B5"/>
    </sheetView>
  </sheetViews>
  <sheetFormatPr baseColWidth="10" defaultColWidth="11.5" defaultRowHeight="15"/>
  <cols>
    <col min="1" max="1" width="9.1640625" customWidth="1"/>
    <col min="2" max="2" width="29.83203125" customWidth="1"/>
    <col min="3" max="4" width="9.1640625" customWidth="1"/>
    <col min="5" max="5" width="4.33203125" customWidth="1"/>
    <col min="6" max="6" width="5" customWidth="1"/>
  </cols>
  <sheetData>
    <row r="1" spans="1:7">
      <c r="C1" s="1"/>
      <c r="D1" s="1"/>
      <c r="E1" s="2" t="s">
        <v>0</v>
      </c>
    </row>
    <row r="2" spans="1:7">
      <c r="A2" t="s">
        <v>1</v>
      </c>
      <c r="C2" s="1"/>
      <c r="D2" s="1"/>
      <c r="E2" s="2"/>
    </row>
    <row r="3" spans="1:7">
      <c r="B3" s="3" t="s">
        <v>36</v>
      </c>
      <c r="C3" s="1"/>
      <c r="D3" s="1"/>
      <c r="E3" s="2" t="s">
        <v>2</v>
      </c>
    </row>
    <row r="4" spans="1:7">
      <c r="A4" t="s">
        <v>111</v>
      </c>
      <c r="B4" s="219">
        <v>43770</v>
      </c>
      <c r="C4" s="1"/>
      <c r="D4" s="1"/>
      <c r="F4" t="s">
        <v>3</v>
      </c>
    </row>
    <row r="5" spans="1:7">
      <c r="A5" t="s">
        <v>4</v>
      </c>
      <c r="C5" s="1"/>
      <c r="D5" s="1"/>
      <c r="G5" t="s">
        <v>5</v>
      </c>
    </row>
    <row r="6" spans="1:7">
      <c r="B6" s="3" t="s">
        <v>37</v>
      </c>
      <c r="C6" s="1"/>
      <c r="D6" s="1"/>
      <c r="F6" t="s">
        <v>34</v>
      </c>
    </row>
    <row r="7" spans="1:7">
      <c r="C7" s="1"/>
      <c r="D7" s="1"/>
      <c r="G7" t="s">
        <v>6</v>
      </c>
    </row>
    <row r="8" spans="1:7">
      <c r="A8" t="s">
        <v>7</v>
      </c>
      <c r="C8" s="1"/>
      <c r="D8" s="1"/>
    </row>
    <row r="9" spans="1:7">
      <c r="B9" s="3" t="s">
        <v>38</v>
      </c>
      <c r="C9" s="1"/>
      <c r="D9" s="1"/>
    </row>
    <row r="10" spans="1:7">
      <c r="B10" s="3"/>
      <c r="C10" s="1"/>
      <c r="D10" s="1"/>
    </row>
    <row r="11" spans="1:7">
      <c r="B11" s="3"/>
      <c r="C11" s="1"/>
      <c r="D11" s="1"/>
    </row>
    <row r="12" spans="1:7">
      <c r="B12" s="3"/>
      <c r="C12" s="1"/>
      <c r="D12" s="1"/>
      <c r="E12" t="s">
        <v>35</v>
      </c>
    </row>
    <row r="13" spans="1:7">
      <c r="B13" s="3"/>
      <c r="C13" s="1"/>
      <c r="D13" s="1"/>
      <c r="E13" t="s">
        <v>8</v>
      </c>
    </row>
    <row r="14" spans="1:7">
      <c r="B14" s="3"/>
      <c r="C14" s="1"/>
      <c r="D14" s="1"/>
      <c r="E14" t="s">
        <v>9</v>
      </c>
    </row>
    <row r="15" spans="1:7">
      <c r="B15" s="3"/>
      <c r="C15" s="1"/>
      <c r="D15" s="1"/>
      <c r="E15" t="s">
        <v>10</v>
      </c>
    </row>
    <row r="16" spans="1:7">
      <c r="B16" s="3"/>
      <c r="C16" s="1"/>
      <c r="D16" s="1"/>
      <c r="F16" t="s">
        <v>11</v>
      </c>
    </row>
    <row r="17" spans="1:7">
      <c r="B17" s="3"/>
      <c r="C17" s="1"/>
      <c r="D17" s="1"/>
      <c r="F17" t="s">
        <v>12</v>
      </c>
    </row>
    <row r="18" spans="1:7">
      <c r="B18" s="3"/>
      <c r="C18" s="1"/>
      <c r="D18" s="1"/>
      <c r="G18" t="s">
        <v>13</v>
      </c>
    </row>
    <row r="19" spans="1:7">
      <c r="B19" s="3"/>
      <c r="C19" s="1"/>
      <c r="D19" s="1"/>
      <c r="G19" t="s">
        <v>14</v>
      </c>
    </row>
    <row r="20" spans="1:7">
      <c r="B20" s="3"/>
      <c r="C20" s="1"/>
      <c r="D20" s="1"/>
      <c r="G20" t="s">
        <v>15</v>
      </c>
    </row>
    <row r="21" spans="1:7">
      <c r="B21" s="3"/>
      <c r="C21" s="1"/>
      <c r="D21" s="1"/>
      <c r="E21" t="s">
        <v>16</v>
      </c>
    </row>
    <row r="22" spans="1:7">
      <c r="B22" s="3"/>
      <c r="C22" s="1"/>
      <c r="D22" s="1"/>
      <c r="E22" t="s">
        <v>17</v>
      </c>
    </row>
    <row r="23" spans="1:7">
      <c r="B23" s="3"/>
      <c r="C23" s="1"/>
      <c r="D23" s="1"/>
      <c r="E23" t="s">
        <v>18</v>
      </c>
    </row>
    <row r="24" spans="1:7">
      <c r="C24" s="1"/>
      <c r="D24" s="1"/>
      <c r="F24" t="s">
        <v>19</v>
      </c>
    </row>
    <row r="25" spans="1:7">
      <c r="C25" s="1"/>
      <c r="D25" s="1"/>
    </row>
    <row r="26" spans="1:7">
      <c r="A26" s="1"/>
      <c r="B26" s="1"/>
      <c r="C26" s="1"/>
      <c r="D26" s="1"/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U64"/>
  <sheetViews>
    <sheetView zoomScale="85" zoomScaleNormal="85" workbookViewId="0">
      <pane xSplit="3" ySplit="3" topLeftCell="D4" activePane="bottomRight" state="frozenSplit"/>
      <selection activeCell="B47" sqref="B47"/>
      <selection pane="topRight" activeCell="B47" sqref="B47"/>
      <selection pane="bottomLeft" activeCell="B47" sqref="B47"/>
      <selection pane="bottomRight" activeCell="B4" sqref="B4"/>
    </sheetView>
  </sheetViews>
  <sheetFormatPr baseColWidth="10" defaultColWidth="11.5" defaultRowHeight="15"/>
  <cols>
    <col min="1" max="1" width="5.83203125" customWidth="1"/>
    <col min="2" max="2" width="15.6640625" customWidth="1"/>
    <col min="3" max="3" width="10" customWidth="1"/>
    <col min="4" max="4" width="6.83203125" customWidth="1"/>
    <col min="5" max="5" width="8.5" customWidth="1"/>
    <col min="6" max="6" width="18" customWidth="1"/>
    <col min="7" max="7" width="10.1640625" customWidth="1"/>
    <col min="8" max="8" width="10.33203125" customWidth="1"/>
    <col min="9" max="9" width="14.33203125" customWidth="1"/>
    <col min="10" max="10" width="6.6640625" customWidth="1"/>
    <col min="11" max="14" width="9.1640625" customWidth="1"/>
    <col min="15" max="15" width="11.83203125" customWidth="1"/>
    <col min="16" max="16" width="5.33203125" customWidth="1"/>
    <col min="17" max="17" width="7.6640625" customWidth="1"/>
    <col min="18" max="18" width="11.83203125" bestFit="1" customWidth="1"/>
    <col min="19" max="19" width="11" customWidth="1"/>
    <col min="20" max="21" width="9.1640625" customWidth="1"/>
    <col min="22" max="22" width="8" customWidth="1"/>
    <col min="23" max="23" width="6.1640625" customWidth="1"/>
    <col min="24" max="24" width="8.83203125" customWidth="1"/>
    <col min="25" max="25" width="8.5" customWidth="1"/>
    <col min="26" max="26" width="10.83203125" customWidth="1"/>
    <col min="27" max="27" width="12" customWidth="1"/>
    <col min="28" max="28" width="11.1640625" customWidth="1"/>
    <col min="29" max="29" width="9.6640625" customWidth="1"/>
    <col min="30" max="30" width="9.1640625" customWidth="1"/>
    <col min="31" max="31" width="7" customWidth="1"/>
    <col min="32" max="32" width="8.83203125" customWidth="1"/>
    <col min="33" max="33" width="12.33203125" customWidth="1"/>
    <col min="34" max="34" width="8.5" customWidth="1"/>
    <col min="35" max="35" width="8.33203125" customWidth="1"/>
    <col min="36" max="36" width="11.5" style="200"/>
    <col min="37" max="37" width="6.5" style="200" customWidth="1"/>
    <col min="38" max="38" width="7" style="200" customWidth="1"/>
    <col min="39" max="39" width="9.33203125" style="200" customWidth="1"/>
  </cols>
  <sheetData>
    <row r="1" spans="1:73" s="6" customFormat="1" ht="19">
      <c r="A1" s="4" t="s">
        <v>20</v>
      </c>
      <c r="B1" s="5"/>
      <c r="C1" s="5"/>
      <c r="D1" s="5"/>
      <c r="E1" s="5"/>
      <c r="F1" s="5"/>
      <c r="G1" s="5"/>
      <c r="H1" s="5"/>
      <c r="I1" s="5"/>
      <c r="J1" s="5"/>
      <c r="K1" s="5"/>
      <c r="AJ1" s="207"/>
      <c r="AK1" s="207"/>
      <c r="AL1" s="207"/>
      <c r="AM1" s="207"/>
    </row>
    <row r="2" spans="1:73" s="7" customFormat="1" ht="17">
      <c r="B2" s="8" t="s">
        <v>21</v>
      </c>
      <c r="K2" s="9" t="s">
        <v>22</v>
      </c>
      <c r="M2" s="10" t="s">
        <v>23</v>
      </c>
      <c r="N2" s="7">
        <f>$A$4</f>
        <v>1</v>
      </c>
      <c r="O2" s="7">
        <f>$A$5</f>
        <v>2</v>
      </c>
      <c r="P2" s="7">
        <f>$A$6</f>
        <v>3</v>
      </c>
      <c r="Q2" s="7">
        <f>$A$7</f>
        <v>4</v>
      </c>
      <c r="R2" s="7">
        <f>$A$8</f>
        <v>5</v>
      </c>
      <c r="S2" s="7">
        <f>$A$9</f>
        <v>6</v>
      </c>
      <c r="T2" s="7">
        <f>$A$11</f>
        <v>8</v>
      </c>
      <c r="U2" s="7">
        <f>$A$12</f>
        <v>9</v>
      </c>
      <c r="V2" s="7">
        <f>$A$13</f>
        <v>10</v>
      </c>
      <c r="W2" s="7">
        <f>$A$14</f>
        <v>11</v>
      </c>
      <c r="X2" s="7">
        <f>$A$15</f>
        <v>12</v>
      </c>
      <c r="Y2" s="7">
        <f>$A$16</f>
        <v>13</v>
      </c>
      <c r="Z2" s="7">
        <f>$A$17</f>
        <v>14</v>
      </c>
      <c r="AA2" s="7">
        <f>$A$18</f>
        <v>15</v>
      </c>
      <c r="AB2" s="7">
        <f>$A$19</f>
        <v>16</v>
      </c>
      <c r="AC2" s="7">
        <f>$A$20</f>
        <v>17</v>
      </c>
      <c r="AD2" s="7">
        <f>$A$21</f>
        <v>18</v>
      </c>
      <c r="AE2" s="7">
        <f>$A$22</f>
        <v>19</v>
      </c>
      <c r="AF2" s="7">
        <f>$A$23</f>
        <v>20</v>
      </c>
      <c r="AG2" s="7">
        <f>$A$24</f>
        <v>21</v>
      </c>
      <c r="AH2" s="7">
        <f>$A$25</f>
        <v>22</v>
      </c>
      <c r="AI2" s="7">
        <f>$A$26</f>
        <v>23</v>
      </c>
      <c r="AJ2" s="208">
        <f>$A$27</f>
        <v>24</v>
      </c>
      <c r="AK2" s="208">
        <f>$A$28</f>
        <v>25</v>
      </c>
      <c r="AL2" s="208">
        <f>$A$29</f>
        <v>26</v>
      </c>
      <c r="AM2" s="208">
        <f>$A$30</f>
        <v>27</v>
      </c>
      <c r="AN2" s="7">
        <f>$A$31</f>
        <v>0</v>
      </c>
      <c r="AO2" s="7">
        <f>$A$32</f>
        <v>0</v>
      </c>
      <c r="AP2" s="7">
        <f>$A$33</f>
        <v>0</v>
      </c>
      <c r="AQ2" s="7">
        <f>$A$34</f>
        <v>0</v>
      </c>
      <c r="AR2" s="7">
        <f>$A$35</f>
        <v>0</v>
      </c>
      <c r="AS2" s="7">
        <f>$A$36</f>
        <v>0</v>
      </c>
      <c r="AT2" s="7">
        <f>$A$37</f>
        <v>65</v>
      </c>
      <c r="AU2" s="7">
        <f>$A$38</f>
        <v>66</v>
      </c>
      <c r="AV2" s="7">
        <f>$A$39</f>
        <v>67</v>
      </c>
      <c r="AW2" s="7">
        <f>$A$40</f>
        <v>68</v>
      </c>
      <c r="AX2" s="7">
        <f>$A$41</f>
        <v>69</v>
      </c>
      <c r="AY2" s="7">
        <f>$A$42</f>
        <v>70</v>
      </c>
      <c r="AZ2" s="7">
        <f>$A$43</f>
        <v>71</v>
      </c>
      <c r="BA2" s="7">
        <f>$A$44</f>
        <v>72</v>
      </c>
      <c r="BB2" s="7">
        <f>$A$45</f>
        <v>73</v>
      </c>
      <c r="BC2" s="7">
        <f>$A$46</f>
        <v>79</v>
      </c>
      <c r="BD2" s="7">
        <f>$A$47</f>
        <v>80</v>
      </c>
      <c r="BE2" s="7">
        <f>$A$48</f>
        <v>81</v>
      </c>
      <c r="BF2" s="7">
        <f>$A$49</f>
        <v>82</v>
      </c>
      <c r="BG2" s="7">
        <f>$A$50</f>
        <v>83</v>
      </c>
      <c r="BH2" s="7">
        <f>$A$51</f>
        <v>84</v>
      </c>
      <c r="BI2" s="7">
        <f>$A$52</f>
        <v>85</v>
      </c>
      <c r="BJ2" s="7">
        <f>$A$53</f>
        <v>86</v>
      </c>
      <c r="BK2" s="7">
        <f>$A$54</f>
        <v>87</v>
      </c>
      <c r="BL2" s="7">
        <f>$A$55</f>
        <v>88</v>
      </c>
      <c r="BM2" s="7">
        <f>$A$56</f>
        <v>89</v>
      </c>
      <c r="BN2" s="7">
        <f>$A$57</f>
        <v>90</v>
      </c>
      <c r="BO2" s="7">
        <f>$A$58</f>
        <v>91</v>
      </c>
      <c r="BP2" s="7">
        <f>$A$59</f>
        <v>95</v>
      </c>
      <c r="BQ2" s="7">
        <f>$A$60</f>
        <v>96</v>
      </c>
      <c r="BR2" s="7">
        <f>$A$61</f>
        <v>97</v>
      </c>
      <c r="BS2" s="7">
        <f>$A$62</f>
        <v>98</v>
      </c>
      <c r="BT2" s="7">
        <f>$A$63</f>
        <v>99</v>
      </c>
      <c r="BU2" s="7">
        <f>$A$64</f>
        <v>100</v>
      </c>
    </row>
    <row r="3" spans="1:73" s="11" customFormat="1" ht="65" thickBot="1">
      <c r="B3" s="11" t="s">
        <v>24</v>
      </c>
      <c r="C3" s="11" t="s">
        <v>25</v>
      </c>
      <c r="D3" s="11" t="s">
        <v>26</v>
      </c>
      <c r="E3" s="11" t="s">
        <v>27</v>
      </c>
      <c r="F3" s="11" t="s">
        <v>28</v>
      </c>
      <c r="G3" s="11" t="s">
        <v>29</v>
      </c>
      <c r="H3" s="11" t="s">
        <v>30</v>
      </c>
      <c r="I3" s="11" t="s">
        <v>31</v>
      </c>
      <c r="J3" s="11" t="s">
        <v>32</v>
      </c>
      <c r="K3"/>
      <c r="L3"/>
      <c r="M3"/>
      <c r="N3" s="333" t="str">
        <f>$B$4</f>
        <v>1 ferry battery</v>
      </c>
      <c r="O3" s="333" t="str">
        <f>$B$5</f>
        <v>Battery packaging</v>
      </c>
      <c r="P3" s="333" t="str">
        <f>$B$6</f>
        <v>Control system</v>
      </c>
      <c r="Q3" s="333" t="str">
        <f>$B$7</f>
        <v>Cooling system</v>
      </c>
      <c r="R3" s="333" t="str">
        <f>$B$8</f>
        <v>Battery cell</v>
      </c>
      <c r="S3" s="333" t="str">
        <f>$B$9</f>
        <v>Battery pack frame</v>
      </c>
      <c r="T3" s="333" t="str">
        <f>$B$11</f>
        <v>Module packaging</v>
      </c>
      <c r="U3" s="333" t="str">
        <f>$B$12</f>
        <v>Electrolyte</v>
      </c>
      <c r="V3" s="333" t="str">
        <f>$B$13</f>
        <v>Cathode</v>
      </c>
      <c r="W3" s="333" t="str">
        <f>$B$14</f>
        <v>Anode</v>
      </c>
      <c r="X3" s="333" t="str">
        <f>$B$15</f>
        <v>Cell container</v>
      </c>
      <c r="Y3" s="334" t="str">
        <f>$B$16</f>
        <v>Separator</v>
      </c>
      <c r="Z3" s="333" t="str">
        <f>$B$17</f>
        <v>Positive current collector Al</v>
      </c>
      <c r="AA3" s="333" t="str">
        <f>$B$18</f>
        <v>Positive electrode paste</v>
      </c>
      <c r="AB3" s="333" t="str">
        <f>$B$19</f>
        <v>Negative current collector Cu</v>
      </c>
      <c r="AC3" s="333" t="str">
        <f>$B$20</f>
        <v>Negative electrode paste</v>
      </c>
      <c r="AD3" s="333" t="str">
        <f>$B$21</f>
        <v>Tab, aluminum</v>
      </c>
      <c r="AE3" s="333" t="str">
        <f>$B$22</f>
        <v>Tab, copper</v>
      </c>
      <c r="AF3" s="333" t="str">
        <f>$B$23</f>
        <v>Aluminum pouch</v>
      </c>
      <c r="AG3" s="333" t="str">
        <f>$B$24</f>
        <v>Positive active material (Li(NCM)O2)</v>
      </c>
      <c r="AH3" s="333" t="str">
        <f>$B$25</f>
        <v>Precursor NCM</v>
      </c>
      <c r="AI3" s="333" t="str">
        <f>$B$26</f>
        <v>Cobalt Sulphate</v>
      </c>
      <c r="AJ3" s="335" t="str">
        <f>$B$27</f>
        <v>Lithium hexafluorophosphate</v>
      </c>
      <c r="AK3" s="335" t="str">
        <f>$B$28</f>
        <v>LiF</v>
      </c>
      <c r="AL3" s="335" t="str">
        <f>$B$29</f>
        <v>PCl5</v>
      </c>
      <c r="AM3" s="335" t="str">
        <f>$B$30</f>
        <v>Lithium carbonate</v>
      </c>
      <c r="AN3" s="11">
        <f>$B$31</f>
        <v>0</v>
      </c>
      <c r="AO3" s="11">
        <f>$B$32</f>
        <v>0</v>
      </c>
      <c r="AP3" s="11">
        <f>$B$33</f>
        <v>0</v>
      </c>
      <c r="AQ3" s="11">
        <f>$B$34</f>
        <v>0</v>
      </c>
      <c r="AR3" s="11">
        <f>$B$35</f>
        <v>0</v>
      </c>
      <c r="AS3" s="11">
        <f>$B$36</f>
        <v>0</v>
      </c>
      <c r="AT3" s="11">
        <f>$B$37</f>
        <v>0</v>
      </c>
      <c r="AU3" s="11">
        <f>$B$38</f>
        <v>0</v>
      </c>
      <c r="AV3" s="11">
        <f>$B$39</f>
        <v>0</v>
      </c>
      <c r="AW3" s="11">
        <f>$B$40</f>
        <v>0</v>
      </c>
      <c r="AX3" s="11">
        <f>$B$41</f>
        <v>0</v>
      </c>
      <c r="AY3" s="11">
        <f>$B$42</f>
        <v>0</v>
      </c>
      <c r="AZ3" s="11">
        <f>$B$43</f>
        <v>0</v>
      </c>
      <c r="BA3" s="11">
        <f>$B$44</f>
        <v>0</v>
      </c>
      <c r="BB3" s="11">
        <f>$B$45</f>
        <v>0</v>
      </c>
      <c r="BC3" s="11">
        <f>$B$46</f>
        <v>0</v>
      </c>
      <c r="BD3" s="11">
        <f>$B$47</f>
        <v>0</v>
      </c>
      <c r="BE3" s="11">
        <f>$B$48</f>
        <v>0</v>
      </c>
      <c r="BF3" s="11">
        <f>$B$49</f>
        <v>0</v>
      </c>
      <c r="BG3" s="11">
        <f>$B$50</f>
        <v>0</v>
      </c>
      <c r="BH3" s="11">
        <f>$B$51</f>
        <v>0</v>
      </c>
      <c r="BI3" s="11">
        <f>$B$52</f>
        <v>0</v>
      </c>
      <c r="BJ3" s="11">
        <f>$B$53</f>
        <v>0</v>
      </c>
      <c r="BK3" s="11">
        <f>$B$54</f>
        <v>0</v>
      </c>
      <c r="BL3" s="11">
        <f>$B$55</f>
        <v>0</v>
      </c>
      <c r="BM3" s="11">
        <f>$B$56</f>
        <v>0</v>
      </c>
      <c r="BN3" s="11">
        <f>$B$57</f>
        <v>0</v>
      </c>
      <c r="BO3" s="11">
        <f>$B$58</f>
        <v>0</v>
      </c>
      <c r="BP3" s="11">
        <f>$B$59</f>
        <v>0</v>
      </c>
      <c r="BQ3" s="11">
        <f>$B$60</f>
        <v>0</v>
      </c>
      <c r="BR3" s="11">
        <f>$B$61</f>
        <v>0</v>
      </c>
      <c r="BS3" s="11">
        <f>$B$62</f>
        <v>0</v>
      </c>
      <c r="BT3" s="11">
        <f>$B$63</f>
        <v>0</v>
      </c>
      <c r="BU3" s="11">
        <f>$B$64</f>
        <v>0</v>
      </c>
    </row>
    <row r="4" spans="1:73" s="19" customFormat="1">
      <c r="A4" s="268">
        <v>1</v>
      </c>
      <c r="B4" s="269" t="s">
        <v>130</v>
      </c>
      <c r="C4" s="12">
        <v>10000001</v>
      </c>
      <c r="D4" s="17" t="str">
        <f t="shared" ref="D4:D30" si="0">B4</f>
        <v>1 ferry battery</v>
      </c>
      <c r="E4" s="17"/>
      <c r="F4" s="17"/>
      <c r="G4" s="17"/>
      <c r="H4" s="17"/>
      <c r="I4" s="17"/>
      <c r="J4" s="18" t="s">
        <v>53</v>
      </c>
      <c r="K4"/>
      <c r="L4" s="43">
        <f>'1_Battery_pack'!H4</f>
        <v>81004.500000060012</v>
      </c>
      <c r="M4"/>
      <c r="N4" s="14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209"/>
      <c r="AK4" s="209"/>
      <c r="AL4" s="209"/>
      <c r="AM4" s="209"/>
    </row>
    <row r="5" spans="1:73" s="19" customFormat="1">
      <c r="A5" s="270">
        <v>2</v>
      </c>
      <c r="B5" s="271" t="s">
        <v>87</v>
      </c>
      <c r="C5" s="12">
        <v>10000002</v>
      </c>
      <c r="D5" s="17" t="str">
        <f t="shared" si="0"/>
        <v>Battery packaging</v>
      </c>
      <c r="E5" s="17"/>
      <c r="F5" s="17"/>
      <c r="G5" s="17"/>
      <c r="H5" s="17"/>
      <c r="I5" s="17"/>
      <c r="J5" s="18" t="s">
        <v>53</v>
      </c>
      <c r="K5"/>
      <c r="L5" s="13"/>
      <c r="M5"/>
      <c r="N5" s="19" t="s">
        <v>162</v>
      </c>
      <c r="O5" s="14"/>
      <c r="AJ5" s="204"/>
      <c r="AK5" s="204"/>
      <c r="AL5" s="204"/>
      <c r="AM5" s="204"/>
    </row>
    <row r="6" spans="1:73" s="19" customFormat="1">
      <c r="A6" s="272">
        <v>3</v>
      </c>
      <c r="B6" s="271" t="s">
        <v>157</v>
      </c>
      <c r="C6" s="12">
        <v>10000003</v>
      </c>
      <c r="D6" s="17" t="str">
        <f t="shared" si="0"/>
        <v>Control system</v>
      </c>
      <c r="E6" s="17"/>
      <c r="F6" s="17"/>
      <c r="G6" s="17"/>
      <c r="H6" s="17"/>
      <c r="I6" s="17"/>
      <c r="J6" s="18" t="s">
        <v>53</v>
      </c>
      <c r="K6"/>
      <c r="L6" s="13"/>
      <c r="M6"/>
      <c r="N6" s="19" t="s">
        <v>162</v>
      </c>
      <c r="P6" s="14"/>
      <c r="AJ6" s="204"/>
      <c r="AK6" s="204"/>
      <c r="AL6" s="204"/>
      <c r="AM6" s="204"/>
    </row>
    <row r="7" spans="1:73" s="19" customFormat="1">
      <c r="A7" s="273">
        <v>4</v>
      </c>
      <c r="B7" s="271" t="s">
        <v>82</v>
      </c>
      <c r="C7" s="12">
        <v>10000004</v>
      </c>
      <c r="D7" s="17" t="str">
        <f t="shared" si="0"/>
        <v>Cooling system</v>
      </c>
      <c r="E7" s="17"/>
      <c r="F7" s="286"/>
      <c r="G7" s="17"/>
      <c r="H7" s="17"/>
      <c r="I7" s="17"/>
      <c r="J7" s="18" t="s">
        <v>53</v>
      </c>
      <c r="K7"/>
      <c r="L7" s="13"/>
      <c r="M7"/>
      <c r="N7" s="19" t="s">
        <v>162</v>
      </c>
      <c r="Q7" s="14"/>
      <c r="AJ7" s="204"/>
      <c r="AK7" s="204"/>
      <c r="AL7" s="204"/>
      <c r="AM7" s="204"/>
    </row>
    <row r="8" spans="1:73" s="19" customFormat="1">
      <c r="A8" s="274">
        <v>5</v>
      </c>
      <c r="B8" s="271" t="s">
        <v>81</v>
      </c>
      <c r="C8" s="12">
        <v>10000005</v>
      </c>
      <c r="D8" s="17" t="str">
        <f t="shared" si="0"/>
        <v>Battery cell</v>
      </c>
      <c r="E8" s="17"/>
      <c r="F8" s="17"/>
      <c r="G8" s="17"/>
      <c r="H8" s="17"/>
      <c r="I8" s="17"/>
      <c r="J8" s="18" t="s">
        <v>53</v>
      </c>
      <c r="K8"/>
      <c r="L8" s="13"/>
      <c r="M8"/>
      <c r="N8" s="19" t="s">
        <v>162</v>
      </c>
      <c r="R8" s="14"/>
      <c r="AJ8" s="204"/>
      <c r="AK8" s="204"/>
      <c r="AL8" s="204"/>
      <c r="AM8" s="204"/>
    </row>
    <row r="9" spans="1:73" s="19" customFormat="1">
      <c r="A9" s="275">
        <v>6</v>
      </c>
      <c r="B9" s="276" t="s">
        <v>116</v>
      </c>
      <c r="C9" s="12">
        <v>10000006</v>
      </c>
      <c r="D9" s="17" t="str">
        <f t="shared" si="0"/>
        <v>Battery pack frame</v>
      </c>
      <c r="E9" s="17"/>
      <c r="F9" s="17"/>
      <c r="G9" s="17"/>
      <c r="H9" s="17"/>
      <c r="I9" s="17"/>
      <c r="J9" s="18" t="s">
        <v>53</v>
      </c>
      <c r="K9"/>
      <c r="L9" s="13"/>
      <c r="M9"/>
      <c r="O9" s="19" t="s">
        <v>162</v>
      </c>
      <c r="S9" s="14"/>
      <c r="AJ9" s="204"/>
      <c r="AK9" s="204"/>
      <c r="AL9" s="204"/>
      <c r="AM9" s="204"/>
    </row>
    <row r="10" spans="1:73" s="19" customFormat="1">
      <c r="A10" s="288">
        <v>7</v>
      </c>
      <c r="B10" s="287" t="s">
        <v>117</v>
      </c>
      <c r="C10" s="287">
        <v>10000007</v>
      </c>
      <c r="D10" s="287" t="str">
        <f t="shared" si="0"/>
        <v>BIP</v>
      </c>
      <c r="E10" s="287"/>
      <c r="F10" s="287"/>
      <c r="G10" s="287"/>
      <c r="H10" s="287"/>
      <c r="I10" s="287"/>
      <c r="J10" s="287" t="s">
        <v>53</v>
      </c>
      <c r="K10" s="289"/>
      <c r="L10" s="291"/>
      <c r="M10" s="289"/>
      <c r="O10" s="19" t="s">
        <v>162</v>
      </c>
    </row>
    <row r="11" spans="1:73" s="19" customFormat="1">
      <c r="A11" s="275">
        <v>8</v>
      </c>
      <c r="B11" s="276" t="s">
        <v>88</v>
      </c>
      <c r="C11" s="12">
        <v>10000008</v>
      </c>
      <c r="D11" s="17" t="str">
        <f>B11</f>
        <v>Module packaging</v>
      </c>
      <c r="E11" s="17"/>
      <c r="F11" s="17"/>
      <c r="G11" s="17"/>
      <c r="H11" s="17"/>
      <c r="I11" s="17"/>
      <c r="J11" s="18" t="s">
        <v>53</v>
      </c>
      <c r="K11"/>
      <c r="L11" s="290"/>
      <c r="M11"/>
      <c r="O11" s="19" t="s">
        <v>162</v>
      </c>
      <c r="T11" s="14"/>
      <c r="AJ11" s="204"/>
      <c r="AK11" s="204"/>
      <c r="AL11" s="204"/>
      <c r="AM11" s="204"/>
    </row>
    <row r="12" spans="1:73" s="19" customFormat="1">
      <c r="A12" s="277">
        <v>9</v>
      </c>
      <c r="B12" s="276" t="s">
        <v>64</v>
      </c>
      <c r="C12" s="12">
        <v>10000009</v>
      </c>
      <c r="D12" s="17" t="str">
        <f t="shared" si="0"/>
        <v>Electrolyte</v>
      </c>
      <c r="E12" s="17"/>
      <c r="F12" s="17"/>
      <c r="G12" s="17"/>
      <c r="H12" s="17"/>
      <c r="I12" s="17"/>
      <c r="J12" s="18" t="s">
        <v>53</v>
      </c>
      <c r="K12"/>
      <c r="L12" s="13"/>
      <c r="M12"/>
      <c r="R12" s="19" t="s">
        <v>162</v>
      </c>
      <c r="T12" s="25"/>
      <c r="U12" s="14"/>
      <c r="AJ12" s="204"/>
      <c r="AK12" s="204"/>
      <c r="AL12" s="204"/>
      <c r="AM12" s="204"/>
    </row>
    <row r="13" spans="1:73" s="19" customFormat="1">
      <c r="A13" s="277">
        <v>10</v>
      </c>
      <c r="B13" s="276" t="s">
        <v>65</v>
      </c>
      <c r="C13" s="12">
        <v>10000010</v>
      </c>
      <c r="D13" s="17" t="str">
        <f t="shared" si="0"/>
        <v>Cathode</v>
      </c>
      <c r="E13" s="17"/>
      <c r="F13" s="17"/>
      <c r="G13" s="17"/>
      <c r="H13" s="17"/>
      <c r="I13" s="17"/>
      <c r="J13" s="18" t="s">
        <v>53</v>
      </c>
      <c r="K13"/>
      <c r="L13" s="13"/>
      <c r="M13"/>
      <c r="R13" s="19" t="s">
        <v>162</v>
      </c>
      <c r="V13" s="14"/>
      <c r="AJ13" s="204"/>
      <c r="AK13" s="204"/>
      <c r="AL13" s="204"/>
      <c r="AM13" s="204"/>
    </row>
    <row r="14" spans="1:73" s="19" customFormat="1">
      <c r="A14" s="277">
        <v>11</v>
      </c>
      <c r="B14" s="276" t="s">
        <v>66</v>
      </c>
      <c r="C14" s="12">
        <v>10000011</v>
      </c>
      <c r="D14" s="17" t="str">
        <f t="shared" si="0"/>
        <v>Anode</v>
      </c>
      <c r="E14" s="17"/>
      <c r="F14" s="17"/>
      <c r="G14" s="17"/>
      <c r="H14" s="17"/>
      <c r="I14" s="17"/>
      <c r="J14" s="18" t="s">
        <v>53</v>
      </c>
      <c r="K14"/>
      <c r="L14" s="13"/>
      <c r="M14"/>
      <c r="R14" s="19" t="s">
        <v>162</v>
      </c>
      <c r="W14" s="14"/>
      <c r="AJ14" s="204"/>
      <c r="AK14" s="204"/>
      <c r="AL14" s="204"/>
      <c r="AM14" s="204"/>
    </row>
    <row r="15" spans="1:73" s="19" customFormat="1">
      <c r="A15" s="277">
        <v>12</v>
      </c>
      <c r="B15" s="276" t="s">
        <v>83</v>
      </c>
      <c r="C15" s="12">
        <v>10000012</v>
      </c>
      <c r="D15" s="17" t="str">
        <f t="shared" si="0"/>
        <v>Cell container</v>
      </c>
      <c r="E15" s="17"/>
      <c r="F15" s="17"/>
      <c r="G15" s="17"/>
      <c r="H15" s="17"/>
      <c r="I15" s="17"/>
      <c r="J15" s="18" t="s">
        <v>53</v>
      </c>
      <c r="K15"/>
      <c r="L15" s="13"/>
      <c r="M15"/>
      <c r="R15" s="19" t="s">
        <v>162</v>
      </c>
      <c r="X15" s="14"/>
      <c r="AJ15" s="204"/>
      <c r="AK15" s="204"/>
      <c r="AL15" s="204"/>
      <c r="AM15" s="204"/>
    </row>
    <row r="16" spans="1:73" s="19" customFormat="1">
      <c r="A16" s="277">
        <v>13</v>
      </c>
      <c r="B16" s="276" t="s">
        <v>96</v>
      </c>
      <c r="C16" s="12">
        <v>10000013</v>
      </c>
      <c r="D16" s="17" t="str">
        <f t="shared" si="0"/>
        <v>Separator</v>
      </c>
      <c r="E16" s="17"/>
      <c r="F16" s="17"/>
      <c r="G16" s="17"/>
      <c r="H16" s="17"/>
      <c r="I16" s="17"/>
      <c r="J16" s="18" t="s">
        <v>53</v>
      </c>
      <c r="K16"/>
      <c r="L16" s="13"/>
      <c r="M16"/>
      <c r="R16" s="19" t="s">
        <v>162</v>
      </c>
      <c r="Y16" s="14"/>
      <c r="Z16" s="27"/>
      <c r="AJ16" s="204"/>
      <c r="AK16" s="204"/>
      <c r="AL16" s="204"/>
      <c r="AM16" s="204"/>
    </row>
    <row r="17" spans="1:41" s="19" customFormat="1">
      <c r="A17" s="278">
        <v>14</v>
      </c>
      <c r="B17" s="276" t="s">
        <v>89</v>
      </c>
      <c r="C17" s="12">
        <v>10000014</v>
      </c>
      <c r="D17" s="17" t="str">
        <f t="shared" si="0"/>
        <v>Positive current collector Al</v>
      </c>
      <c r="E17" s="17"/>
      <c r="F17" s="17"/>
      <c r="G17" s="17"/>
      <c r="H17" s="17"/>
      <c r="I17" s="17"/>
      <c r="J17" s="18" t="s">
        <v>53</v>
      </c>
      <c r="K17"/>
      <c r="L17" s="13"/>
      <c r="M17"/>
      <c r="V17" s="25" t="s">
        <v>162</v>
      </c>
      <c r="Y17" s="27"/>
      <c r="Z17" s="14"/>
      <c r="AJ17" s="204"/>
      <c r="AK17" s="204"/>
      <c r="AL17" s="204"/>
      <c r="AM17" s="204"/>
    </row>
    <row r="18" spans="1:41" s="19" customFormat="1">
      <c r="A18" s="278">
        <v>15</v>
      </c>
      <c r="B18" s="276" t="s">
        <v>90</v>
      </c>
      <c r="C18" s="12">
        <v>10000015</v>
      </c>
      <c r="D18" s="17" t="s">
        <v>78</v>
      </c>
      <c r="E18" s="17"/>
      <c r="F18" s="17"/>
      <c r="G18" s="17"/>
      <c r="H18" s="17"/>
      <c r="I18" s="17"/>
      <c r="J18" s="18" t="s">
        <v>53</v>
      </c>
      <c r="K18"/>
      <c r="L18" s="13"/>
      <c r="M18"/>
      <c r="V18" s="25" t="s">
        <v>162</v>
      </c>
      <c r="AA18" s="14"/>
      <c r="AJ18" s="204"/>
      <c r="AK18" s="204"/>
      <c r="AL18" s="204"/>
      <c r="AM18" s="204"/>
    </row>
    <row r="19" spans="1:41" s="19" customFormat="1">
      <c r="A19" s="279">
        <v>16</v>
      </c>
      <c r="B19" s="276" t="s">
        <v>91</v>
      </c>
      <c r="C19" s="12">
        <v>10000016</v>
      </c>
      <c r="D19" s="17" t="str">
        <f t="shared" si="0"/>
        <v>Negative current collector Cu</v>
      </c>
      <c r="E19" s="17"/>
      <c r="F19" s="17"/>
      <c r="G19" s="17"/>
      <c r="H19" s="17"/>
      <c r="I19" s="17"/>
      <c r="J19" s="18" t="s">
        <v>53</v>
      </c>
      <c r="K19"/>
      <c r="L19" s="13"/>
      <c r="M19"/>
      <c r="V19" s="25"/>
      <c r="W19" s="19" t="s">
        <v>162</v>
      </c>
      <c r="AB19" s="14"/>
      <c r="AJ19" s="204"/>
      <c r="AK19" s="204"/>
      <c r="AL19" s="204"/>
      <c r="AM19" s="204"/>
    </row>
    <row r="20" spans="1:41" s="19" customFormat="1">
      <c r="A20" s="279">
        <v>17</v>
      </c>
      <c r="B20" s="276" t="s">
        <v>92</v>
      </c>
      <c r="C20" s="12">
        <v>10000017</v>
      </c>
      <c r="D20" s="17" t="s">
        <v>79</v>
      </c>
      <c r="E20" s="17"/>
      <c r="F20" s="17"/>
      <c r="G20" s="17"/>
      <c r="H20" s="17"/>
      <c r="I20" s="17"/>
      <c r="J20" s="18" t="s">
        <v>53</v>
      </c>
      <c r="K20"/>
      <c r="L20" s="13"/>
      <c r="M20"/>
      <c r="W20" s="19" t="s">
        <v>162</v>
      </c>
      <c r="AC20" s="14"/>
      <c r="AJ20" s="204"/>
      <c r="AK20" s="204"/>
      <c r="AL20" s="204"/>
      <c r="AM20" s="204"/>
    </row>
    <row r="21" spans="1:41" s="19" customFormat="1">
      <c r="A21" s="280">
        <v>18</v>
      </c>
      <c r="B21" s="276" t="s">
        <v>93</v>
      </c>
      <c r="C21" s="12">
        <v>10000018</v>
      </c>
      <c r="D21" s="17" t="str">
        <f>B21</f>
        <v>Tab, aluminum</v>
      </c>
      <c r="E21" s="17"/>
      <c r="F21" s="17"/>
      <c r="G21" s="17"/>
      <c r="H21" s="17"/>
      <c r="I21" s="17"/>
      <c r="J21" s="18" t="s">
        <v>53</v>
      </c>
      <c r="K21"/>
      <c r="L21" s="13"/>
      <c r="M21"/>
      <c r="V21" s="25"/>
      <c r="X21" s="19" t="s">
        <v>162</v>
      </c>
      <c r="AD21" s="14"/>
      <c r="AJ21" s="204"/>
      <c r="AK21" s="204"/>
      <c r="AL21" s="204"/>
      <c r="AM21" s="204"/>
    </row>
    <row r="22" spans="1:41" s="19" customFormat="1">
      <c r="A22" s="280">
        <v>19</v>
      </c>
      <c r="B22" s="276" t="s">
        <v>94</v>
      </c>
      <c r="C22" s="12">
        <v>10000019</v>
      </c>
      <c r="D22" s="17" t="str">
        <f t="shared" si="0"/>
        <v>Tab, copper</v>
      </c>
      <c r="E22" s="17"/>
      <c r="F22" s="17"/>
      <c r="G22" s="17"/>
      <c r="H22" s="17"/>
      <c r="I22" s="17"/>
      <c r="J22" s="18" t="s">
        <v>53</v>
      </c>
      <c r="K22"/>
      <c r="L22" s="13"/>
      <c r="M22"/>
      <c r="X22" s="19" t="s">
        <v>162</v>
      </c>
      <c r="AE22" s="14"/>
      <c r="AJ22" s="204"/>
      <c r="AK22" s="204"/>
      <c r="AL22" s="204"/>
      <c r="AM22" s="204"/>
    </row>
    <row r="23" spans="1:41" s="19" customFormat="1">
      <c r="A23" s="280">
        <v>20</v>
      </c>
      <c r="B23" s="276" t="s">
        <v>67</v>
      </c>
      <c r="C23" s="12">
        <v>10000020</v>
      </c>
      <c r="D23" s="17" t="str">
        <f t="shared" si="0"/>
        <v>Aluminum pouch</v>
      </c>
      <c r="E23" s="17"/>
      <c r="F23" s="17"/>
      <c r="G23" s="17"/>
      <c r="H23" s="17"/>
      <c r="I23" s="17"/>
      <c r="J23" s="18" t="s">
        <v>53</v>
      </c>
      <c r="K23"/>
      <c r="L23" s="13"/>
      <c r="M23"/>
      <c r="X23" s="19" t="s">
        <v>162</v>
      </c>
      <c r="AF23" s="14"/>
      <c r="AJ23" s="204"/>
      <c r="AK23" s="204"/>
      <c r="AL23" s="204"/>
      <c r="AM23" s="204"/>
    </row>
    <row r="24" spans="1:41" s="19" customFormat="1">
      <c r="A24" s="281">
        <v>21</v>
      </c>
      <c r="B24" s="276" t="s">
        <v>103</v>
      </c>
      <c r="C24" s="12">
        <v>10000021</v>
      </c>
      <c r="D24" s="17" t="str">
        <f t="shared" si="0"/>
        <v>Positive active material (Li(NCM)O2)</v>
      </c>
      <c r="E24" s="17"/>
      <c r="F24" s="17"/>
      <c r="G24" s="17"/>
      <c r="H24" s="17"/>
      <c r="I24" s="17"/>
      <c r="J24" s="18" t="s">
        <v>53</v>
      </c>
      <c r="K24"/>
      <c r="L24" s="13"/>
      <c r="M24"/>
      <c r="AA24" s="19" t="s">
        <v>162</v>
      </c>
      <c r="AG24" s="14"/>
      <c r="AJ24" s="204"/>
      <c r="AK24" s="204"/>
      <c r="AL24" s="204"/>
      <c r="AM24" s="204"/>
    </row>
    <row r="25" spans="1:41" s="19" customFormat="1">
      <c r="A25" s="281">
        <v>22</v>
      </c>
      <c r="B25" s="276" t="s">
        <v>110</v>
      </c>
      <c r="C25" s="12">
        <v>10000022</v>
      </c>
      <c r="D25" s="17" t="str">
        <f t="shared" si="0"/>
        <v>Precursor NCM</v>
      </c>
      <c r="E25" s="17"/>
      <c r="F25" s="17"/>
      <c r="G25" s="17"/>
      <c r="H25" s="17"/>
      <c r="I25" s="17"/>
      <c r="J25" s="18" t="s">
        <v>53</v>
      </c>
      <c r="K25"/>
      <c r="L25" s="13"/>
      <c r="M25"/>
      <c r="AG25" s="26" t="s">
        <v>162</v>
      </c>
      <c r="AH25" s="14"/>
      <c r="AJ25" s="204"/>
      <c r="AK25" s="204"/>
      <c r="AL25" s="204"/>
      <c r="AM25" s="204"/>
    </row>
    <row r="26" spans="1:41" s="19" customFormat="1">
      <c r="A26" s="281">
        <v>23</v>
      </c>
      <c r="B26" s="276" t="s">
        <v>61</v>
      </c>
      <c r="C26" s="12">
        <v>10000023</v>
      </c>
      <c r="D26" s="17" t="str">
        <f t="shared" si="0"/>
        <v>Cobalt Sulphate</v>
      </c>
      <c r="E26" s="17"/>
      <c r="F26" s="17"/>
      <c r="G26" s="17"/>
      <c r="H26" s="17"/>
      <c r="I26" s="17"/>
      <c r="J26" s="18" t="s">
        <v>53</v>
      </c>
      <c r="K26"/>
      <c r="L26" s="13"/>
      <c r="M26"/>
      <c r="AH26" s="26" t="s">
        <v>162</v>
      </c>
      <c r="AI26" s="14"/>
      <c r="AJ26" s="204"/>
      <c r="AK26" s="204"/>
      <c r="AL26" s="204"/>
      <c r="AM26" s="204"/>
    </row>
    <row r="27" spans="1:41" s="204" customFormat="1">
      <c r="A27" s="281">
        <v>24</v>
      </c>
      <c r="B27" s="282" t="s">
        <v>68</v>
      </c>
      <c r="C27" s="12">
        <v>10000024</v>
      </c>
      <c r="D27" s="201" t="str">
        <f t="shared" si="0"/>
        <v>Lithium hexafluorophosphate</v>
      </c>
      <c r="E27" s="201"/>
      <c r="F27" s="201"/>
      <c r="G27" s="201"/>
      <c r="H27" s="201"/>
      <c r="I27" s="201"/>
      <c r="J27" s="202" t="s">
        <v>53</v>
      </c>
      <c r="K27" s="200"/>
      <c r="L27" s="203"/>
      <c r="M27" s="200"/>
      <c r="U27" s="205" t="s">
        <v>162</v>
      </c>
      <c r="AH27" s="205"/>
      <c r="AJ27" s="206"/>
    </row>
    <row r="28" spans="1:41" s="204" customFormat="1">
      <c r="A28" s="281">
        <v>25</v>
      </c>
      <c r="B28" s="282" t="s">
        <v>69</v>
      </c>
      <c r="C28" s="12">
        <v>10000025</v>
      </c>
      <c r="D28" s="201" t="str">
        <f t="shared" si="0"/>
        <v>LiF</v>
      </c>
      <c r="E28" s="201"/>
      <c r="F28" s="201"/>
      <c r="G28" s="201"/>
      <c r="H28" s="201"/>
      <c r="I28" s="201"/>
      <c r="J28" s="202" t="s">
        <v>53</v>
      </c>
      <c r="K28" s="200"/>
      <c r="L28" s="203"/>
      <c r="M28" s="200"/>
      <c r="AJ28" s="205" t="s">
        <v>162</v>
      </c>
      <c r="AK28" s="206"/>
    </row>
    <row r="29" spans="1:41" s="204" customFormat="1">
      <c r="A29" s="281">
        <v>26</v>
      </c>
      <c r="B29" s="282" t="s">
        <v>70</v>
      </c>
      <c r="C29" s="12">
        <v>10000026</v>
      </c>
      <c r="D29" s="201" t="str">
        <f t="shared" si="0"/>
        <v>PCl5</v>
      </c>
      <c r="E29" s="201"/>
      <c r="F29" s="201"/>
      <c r="G29" s="201"/>
      <c r="H29" s="201"/>
      <c r="I29" s="201"/>
      <c r="J29" s="202" t="s">
        <v>53</v>
      </c>
      <c r="K29" s="200"/>
      <c r="L29" s="203"/>
      <c r="M29" s="200"/>
      <c r="AJ29" s="205" t="s">
        <v>162</v>
      </c>
      <c r="AL29" s="206"/>
    </row>
    <row r="30" spans="1:41" s="204" customFormat="1">
      <c r="A30" s="281">
        <v>27</v>
      </c>
      <c r="B30" s="282" t="s">
        <v>63</v>
      </c>
      <c r="C30" s="12">
        <v>10000027</v>
      </c>
      <c r="D30" s="201" t="str">
        <f t="shared" si="0"/>
        <v>Lithium carbonate</v>
      </c>
      <c r="E30" s="201"/>
      <c r="F30" s="201"/>
      <c r="G30" s="201"/>
      <c r="H30" s="201"/>
      <c r="I30" s="201"/>
      <c r="J30" s="202" t="s">
        <v>53</v>
      </c>
      <c r="K30" s="200"/>
      <c r="L30" s="203"/>
      <c r="M30" s="200"/>
      <c r="AK30" s="205" t="s">
        <v>162</v>
      </c>
      <c r="AM30" s="206"/>
    </row>
    <row r="31" spans="1:41" s="179" customFormat="1">
      <c r="A31" s="175"/>
      <c r="B31" s="176"/>
      <c r="C31" s="176"/>
      <c r="D31" s="176"/>
      <c r="E31" s="176"/>
      <c r="F31" s="176"/>
      <c r="G31" s="176"/>
      <c r="H31" s="176"/>
      <c r="I31" s="176"/>
      <c r="J31" s="177"/>
      <c r="K31" s="102"/>
      <c r="L31" s="178"/>
      <c r="M31" s="102"/>
      <c r="AJ31" s="210"/>
      <c r="AK31" s="210"/>
      <c r="AL31" s="210"/>
      <c r="AM31" s="210"/>
      <c r="AN31" s="180"/>
    </row>
    <row r="32" spans="1:41" s="179" customFormat="1">
      <c r="A32" s="175"/>
      <c r="B32" s="176"/>
      <c r="C32" s="176"/>
      <c r="D32" s="176"/>
      <c r="E32" s="176"/>
      <c r="F32" s="176"/>
      <c r="G32" s="176"/>
      <c r="H32" s="176"/>
      <c r="I32" s="176"/>
      <c r="J32" s="177"/>
      <c r="K32" s="102"/>
      <c r="L32" s="178"/>
      <c r="M32" s="102"/>
      <c r="AJ32" s="210"/>
      <c r="AK32" s="210"/>
      <c r="AL32" s="210"/>
      <c r="AM32" s="210"/>
      <c r="AO32" s="180"/>
    </row>
    <row r="33" spans="1:57" s="179" customFormat="1">
      <c r="A33" s="175"/>
      <c r="B33" s="176"/>
      <c r="C33" s="176"/>
      <c r="D33" s="176"/>
      <c r="E33" s="176"/>
      <c r="F33" s="176"/>
      <c r="G33" s="176"/>
      <c r="H33" s="176"/>
      <c r="I33" s="176"/>
      <c r="J33" s="177"/>
      <c r="K33" s="102"/>
      <c r="L33" s="178"/>
      <c r="M33" s="102"/>
      <c r="AJ33" s="210"/>
      <c r="AK33" s="210"/>
      <c r="AL33" s="210"/>
      <c r="AM33" s="210"/>
      <c r="AP33" s="180"/>
    </row>
    <row r="34" spans="1:57" s="179" customFormat="1">
      <c r="A34" s="175"/>
      <c r="B34" s="176"/>
      <c r="C34" s="176"/>
      <c r="D34" s="176"/>
      <c r="E34" s="176"/>
      <c r="F34" s="176"/>
      <c r="G34" s="176"/>
      <c r="H34" s="176"/>
      <c r="I34" s="176"/>
      <c r="J34" s="177"/>
      <c r="K34" s="102"/>
      <c r="L34" s="178"/>
      <c r="M34" s="102"/>
      <c r="AJ34" s="210"/>
      <c r="AK34" s="210"/>
      <c r="AL34" s="210"/>
      <c r="AM34" s="210"/>
      <c r="AQ34" s="180"/>
    </row>
    <row r="35" spans="1:57" s="179" customFormat="1">
      <c r="A35" s="175"/>
      <c r="B35" s="176"/>
      <c r="C35" s="176"/>
      <c r="D35" s="176"/>
      <c r="E35" s="176"/>
      <c r="F35" s="176"/>
      <c r="G35" s="176"/>
      <c r="H35" s="176"/>
      <c r="I35" s="176"/>
      <c r="J35" s="177"/>
      <c r="K35" s="102"/>
      <c r="L35" s="178"/>
      <c r="M35" s="102"/>
      <c r="AJ35" s="210"/>
      <c r="AK35" s="210"/>
      <c r="AL35" s="210"/>
      <c r="AM35" s="210"/>
      <c r="AR35" s="180"/>
    </row>
    <row r="36" spans="1:57" s="179" customFormat="1">
      <c r="A36" s="175"/>
      <c r="B36" s="176"/>
      <c r="C36" s="176"/>
      <c r="D36" s="176"/>
      <c r="E36" s="176"/>
      <c r="F36" s="176"/>
      <c r="G36" s="176"/>
      <c r="H36" s="176"/>
      <c r="I36" s="176"/>
      <c r="J36" s="177"/>
      <c r="K36" s="102"/>
      <c r="L36" s="178"/>
      <c r="M36" s="102"/>
      <c r="AJ36" s="210"/>
      <c r="AK36" s="210"/>
      <c r="AL36" s="210"/>
      <c r="AM36" s="210"/>
      <c r="AS36" s="180"/>
    </row>
    <row r="37" spans="1:57" s="179" customFormat="1">
      <c r="A37" s="175">
        <v>65</v>
      </c>
      <c r="B37" s="176"/>
      <c r="C37" s="176"/>
      <c r="D37" s="176"/>
      <c r="E37" s="176"/>
      <c r="F37" s="176"/>
      <c r="G37" s="176"/>
      <c r="H37" s="176"/>
      <c r="I37" s="176"/>
      <c r="J37" s="177"/>
      <c r="K37" s="102"/>
      <c r="L37" s="178"/>
      <c r="M37" s="102"/>
      <c r="AJ37" s="210"/>
      <c r="AK37" s="210"/>
      <c r="AL37" s="210"/>
      <c r="AM37" s="210"/>
      <c r="AT37" s="180"/>
    </row>
    <row r="38" spans="1:57" s="179" customFormat="1">
      <c r="A38" s="175">
        <v>66</v>
      </c>
      <c r="B38" s="176"/>
      <c r="C38" s="176"/>
      <c r="D38" s="176"/>
      <c r="E38" s="176"/>
      <c r="F38" s="176"/>
      <c r="G38" s="176"/>
      <c r="H38" s="176"/>
      <c r="I38" s="176"/>
      <c r="J38" s="177"/>
      <c r="K38" s="102"/>
      <c r="L38" s="178"/>
      <c r="M38" s="102"/>
      <c r="AJ38" s="210"/>
      <c r="AK38" s="210"/>
      <c r="AL38" s="210"/>
      <c r="AM38" s="210"/>
      <c r="AU38" s="180"/>
    </row>
    <row r="39" spans="1:57" s="179" customFormat="1">
      <c r="A39" s="175">
        <v>67</v>
      </c>
      <c r="B39" s="176"/>
      <c r="C39" s="176"/>
      <c r="D39" s="176"/>
      <c r="E39" s="176"/>
      <c r="F39" s="176"/>
      <c r="G39" s="176"/>
      <c r="H39" s="176"/>
      <c r="I39" s="176"/>
      <c r="J39" s="177"/>
      <c r="K39" s="102"/>
      <c r="L39" s="178"/>
      <c r="M39" s="102"/>
      <c r="AJ39" s="210"/>
      <c r="AK39" s="210"/>
      <c r="AL39" s="210"/>
      <c r="AM39" s="210"/>
      <c r="AV39" s="180"/>
    </row>
    <row r="40" spans="1:57" s="179" customFormat="1">
      <c r="A40" s="175">
        <v>68</v>
      </c>
      <c r="B40" s="176"/>
      <c r="C40" s="176"/>
      <c r="D40" s="176"/>
      <c r="E40" s="176"/>
      <c r="F40" s="176"/>
      <c r="G40" s="176"/>
      <c r="H40" s="176"/>
      <c r="I40" s="176"/>
      <c r="J40" s="177"/>
      <c r="K40" s="102"/>
      <c r="L40" s="178"/>
      <c r="M40" s="102"/>
      <c r="AJ40" s="210"/>
      <c r="AK40" s="210"/>
      <c r="AL40" s="210"/>
      <c r="AM40" s="210"/>
      <c r="AW40" s="180"/>
    </row>
    <row r="41" spans="1:57" s="179" customFormat="1">
      <c r="A41" s="175">
        <v>69</v>
      </c>
      <c r="B41" s="176"/>
      <c r="C41" s="176"/>
      <c r="D41" s="176"/>
      <c r="E41" s="176"/>
      <c r="F41" s="176"/>
      <c r="G41" s="176"/>
      <c r="H41" s="176"/>
      <c r="I41" s="176"/>
      <c r="J41" s="177"/>
      <c r="K41" s="102"/>
      <c r="L41" s="178"/>
      <c r="M41" s="102"/>
      <c r="AJ41" s="210"/>
      <c r="AK41" s="210"/>
      <c r="AL41" s="210"/>
      <c r="AM41" s="210"/>
      <c r="AX41" s="180"/>
    </row>
    <row r="42" spans="1:57" s="179" customFormat="1">
      <c r="A42" s="175">
        <v>70</v>
      </c>
      <c r="B42" s="176"/>
      <c r="C42" s="176"/>
      <c r="D42" s="176"/>
      <c r="E42" s="176"/>
      <c r="F42" s="176"/>
      <c r="G42" s="176"/>
      <c r="H42" s="176"/>
      <c r="I42" s="176"/>
      <c r="J42" s="177"/>
      <c r="K42" s="102"/>
      <c r="L42" s="178"/>
      <c r="M42" s="102"/>
      <c r="AJ42" s="210"/>
      <c r="AK42" s="210"/>
      <c r="AL42" s="210"/>
      <c r="AM42" s="210"/>
      <c r="AY42" s="180"/>
    </row>
    <row r="43" spans="1:57" s="179" customFormat="1">
      <c r="A43" s="175">
        <v>71</v>
      </c>
      <c r="B43" s="176"/>
      <c r="C43" s="176"/>
      <c r="D43" s="176"/>
      <c r="E43" s="176"/>
      <c r="F43" s="176"/>
      <c r="G43" s="176"/>
      <c r="H43" s="176"/>
      <c r="I43" s="176"/>
      <c r="J43" s="177"/>
      <c r="K43" s="102"/>
      <c r="L43" s="178"/>
      <c r="M43" s="102"/>
      <c r="AJ43" s="210"/>
      <c r="AK43" s="210"/>
      <c r="AL43" s="210"/>
      <c r="AM43" s="210"/>
      <c r="AZ43" s="180"/>
    </row>
    <row r="44" spans="1:57" s="179" customFormat="1">
      <c r="A44" s="175">
        <v>72</v>
      </c>
      <c r="B44" s="176"/>
      <c r="C44" s="176"/>
      <c r="D44" s="176"/>
      <c r="E44" s="176"/>
      <c r="F44" s="176"/>
      <c r="G44" s="176"/>
      <c r="H44" s="176"/>
      <c r="I44" s="176"/>
      <c r="J44" s="177"/>
      <c r="K44" s="102"/>
      <c r="L44" s="178"/>
      <c r="M44" s="102"/>
      <c r="AJ44" s="210"/>
      <c r="AK44" s="210"/>
      <c r="AL44" s="210"/>
      <c r="AM44" s="210"/>
      <c r="BA44" s="180"/>
    </row>
    <row r="45" spans="1:57" s="179" customFormat="1">
      <c r="A45" s="175">
        <v>73</v>
      </c>
      <c r="B45" s="176"/>
      <c r="C45" s="176"/>
      <c r="D45" s="176"/>
      <c r="E45" s="176"/>
      <c r="F45" s="176"/>
      <c r="G45" s="176"/>
      <c r="H45" s="176"/>
      <c r="I45" s="176"/>
      <c r="J45" s="177"/>
      <c r="K45" s="102"/>
      <c r="L45" s="178"/>
      <c r="M45" s="102"/>
      <c r="AJ45" s="210"/>
      <c r="AK45" s="210"/>
      <c r="AL45" s="210"/>
      <c r="AM45" s="210"/>
      <c r="BB45" s="180"/>
    </row>
    <row r="46" spans="1:57" s="179" customFormat="1">
      <c r="A46" s="181">
        <v>79</v>
      </c>
      <c r="B46" s="176"/>
      <c r="C46" s="176"/>
      <c r="D46" s="176"/>
      <c r="E46" s="176"/>
      <c r="F46" s="176"/>
      <c r="G46" s="176"/>
      <c r="H46" s="176"/>
      <c r="I46" s="176"/>
      <c r="J46" s="177"/>
      <c r="K46" s="102"/>
      <c r="L46" s="178"/>
      <c r="M46" s="102"/>
      <c r="AJ46" s="210"/>
      <c r="AK46" s="210"/>
      <c r="AL46" s="210"/>
      <c r="AM46" s="210"/>
      <c r="BC46" s="180"/>
    </row>
    <row r="47" spans="1:57" s="19" customFormat="1">
      <c r="A47" s="16">
        <v>80</v>
      </c>
      <c r="B47" s="17"/>
      <c r="C47" s="17"/>
      <c r="D47" s="17"/>
      <c r="E47" s="17"/>
      <c r="F47" s="17"/>
      <c r="G47" s="17"/>
      <c r="H47" s="17"/>
      <c r="I47" s="17"/>
      <c r="J47" s="18"/>
      <c r="K47"/>
      <c r="L47" s="13"/>
      <c r="M47"/>
      <c r="AJ47" s="204"/>
      <c r="AK47" s="204"/>
      <c r="AL47" s="204"/>
      <c r="AM47" s="204"/>
      <c r="BD47" s="14"/>
    </row>
    <row r="48" spans="1:57" s="19" customFormat="1">
      <c r="A48" s="16">
        <v>81</v>
      </c>
      <c r="B48" s="17"/>
      <c r="C48" s="17"/>
      <c r="D48" s="17"/>
      <c r="E48" s="17"/>
      <c r="F48" s="17"/>
      <c r="G48" s="17"/>
      <c r="H48" s="17"/>
      <c r="I48" s="17"/>
      <c r="J48" s="18"/>
      <c r="K48"/>
      <c r="L48" s="13"/>
      <c r="M48"/>
      <c r="AJ48" s="204"/>
      <c r="AK48" s="204"/>
      <c r="AL48" s="204"/>
      <c r="AM48" s="204"/>
      <c r="BE48" s="14"/>
    </row>
    <row r="49" spans="1:73" s="19" customFormat="1">
      <c r="A49" s="16">
        <v>82</v>
      </c>
      <c r="B49" s="17"/>
      <c r="C49" s="17"/>
      <c r="D49" s="17"/>
      <c r="E49" s="17"/>
      <c r="F49" s="17"/>
      <c r="G49" s="17"/>
      <c r="H49" s="17"/>
      <c r="I49" s="17"/>
      <c r="J49" s="18"/>
      <c r="K49"/>
      <c r="L49" s="13"/>
      <c r="M49"/>
      <c r="AJ49" s="204"/>
      <c r="AK49" s="204"/>
      <c r="AL49" s="204"/>
      <c r="AM49" s="204"/>
      <c r="BF49" s="14"/>
    </row>
    <row r="50" spans="1:73" s="19" customFormat="1">
      <c r="A50" s="16">
        <v>83</v>
      </c>
      <c r="B50" s="17"/>
      <c r="C50" s="17"/>
      <c r="D50" s="17"/>
      <c r="E50" s="17"/>
      <c r="F50" s="17"/>
      <c r="G50" s="17"/>
      <c r="H50" s="17"/>
      <c r="I50" s="17"/>
      <c r="J50" s="18"/>
      <c r="K50"/>
      <c r="L50" s="13"/>
      <c r="M50"/>
      <c r="AJ50" s="204"/>
      <c r="AK50" s="204"/>
      <c r="AL50" s="204"/>
      <c r="AM50" s="204"/>
      <c r="BG50" s="14"/>
    </row>
    <row r="51" spans="1:73" s="19" customFormat="1">
      <c r="A51" s="16">
        <v>84</v>
      </c>
      <c r="B51" s="17"/>
      <c r="C51" s="17"/>
      <c r="D51" s="17"/>
      <c r="E51" s="17"/>
      <c r="F51" s="17"/>
      <c r="G51" s="17"/>
      <c r="H51" s="17"/>
      <c r="I51" s="17"/>
      <c r="J51" s="18"/>
      <c r="K51"/>
      <c r="L51" s="13"/>
      <c r="M51"/>
      <c r="AJ51" s="204"/>
      <c r="AK51" s="204"/>
      <c r="AL51" s="204"/>
      <c r="AM51" s="204"/>
      <c r="BH51" s="14"/>
    </row>
    <row r="52" spans="1:73" s="19" customFormat="1">
      <c r="A52" s="16">
        <v>85</v>
      </c>
      <c r="B52" s="17"/>
      <c r="C52" s="17"/>
      <c r="D52" s="17"/>
      <c r="E52" s="17"/>
      <c r="F52" s="17"/>
      <c r="G52" s="17"/>
      <c r="H52" s="17"/>
      <c r="I52" s="17"/>
      <c r="J52" s="18"/>
      <c r="K52"/>
      <c r="L52" s="13"/>
      <c r="M52"/>
      <c r="AJ52" s="204"/>
      <c r="AK52" s="204"/>
      <c r="AL52" s="204"/>
      <c r="AM52" s="204"/>
      <c r="BI52" s="14"/>
    </row>
    <row r="53" spans="1:73" s="19" customFormat="1">
      <c r="A53" s="16">
        <v>86</v>
      </c>
      <c r="B53" s="17"/>
      <c r="C53" s="17"/>
      <c r="D53" s="17"/>
      <c r="E53" s="17"/>
      <c r="F53" s="17"/>
      <c r="G53" s="17"/>
      <c r="H53" s="17"/>
      <c r="I53" s="17"/>
      <c r="J53" s="18"/>
      <c r="K53"/>
      <c r="L53" s="13"/>
      <c r="M53"/>
      <c r="AJ53" s="204"/>
      <c r="AK53" s="204"/>
      <c r="AL53" s="204"/>
      <c r="AM53" s="204"/>
      <c r="BJ53" s="14"/>
    </row>
    <row r="54" spans="1:73" s="19" customFormat="1">
      <c r="A54" s="16">
        <v>87</v>
      </c>
      <c r="B54" s="17"/>
      <c r="C54" s="17"/>
      <c r="D54" s="17"/>
      <c r="E54" s="17"/>
      <c r="F54" s="17"/>
      <c r="G54" s="17"/>
      <c r="H54" s="17"/>
      <c r="I54" s="17"/>
      <c r="J54" s="18"/>
      <c r="K54"/>
      <c r="L54" s="13"/>
      <c r="M54"/>
      <c r="AJ54" s="204"/>
      <c r="AK54" s="204"/>
      <c r="AL54" s="204"/>
      <c r="AM54" s="204"/>
      <c r="BK54" s="14"/>
    </row>
    <row r="55" spans="1:73" s="19" customFormat="1">
      <c r="A55" s="16">
        <v>88</v>
      </c>
      <c r="B55" s="17"/>
      <c r="C55" s="17"/>
      <c r="D55" s="17"/>
      <c r="E55" s="17"/>
      <c r="F55" s="17"/>
      <c r="G55" s="17"/>
      <c r="H55" s="17"/>
      <c r="I55" s="17"/>
      <c r="J55" s="18"/>
      <c r="K55"/>
      <c r="L55" s="13"/>
      <c r="M55"/>
      <c r="AJ55" s="204"/>
      <c r="AK55" s="204"/>
      <c r="AL55" s="204"/>
      <c r="AM55" s="204"/>
      <c r="BL55" s="14"/>
    </row>
    <row r="56" spans="1:73" s="19" customFormat="1">
      <c r="A56" s="24">
        <v>89</v>
      </c>
      <c r="B56" s="17"/>
      <c r="C56" s="17"/>
      <c r="D56" s="17"/>
      <c r="E56" s="17"/>
      <c r="F56" s="17"/>
      <c r="G56" s="17"/>
      <c r="H56" s="17"/>
      <c r="I56" s="17"/>
      <c r="J56" s="18"/>
      <c r="K56"/>
      <c r="L56" s="13"/>
      <c r="M56"/>
      <c r="AJ56" s="204"/>
      <c r="AK56" s="204"/>
      <c r="AL56" s="204"/>
      <c r="AM56" s="204"/>
      <c r="BM56" s="14"/>
    </row>
    <row r="57" spans="1:73" s="19" customFormat="1">
      <c r="A57" s="16">
        <v>90</v>
      </c>
      <c r="B57" s="17"/>
      <c r="C57" s="17"/>
      <c r="D57" s="17"/>
      <c r="E57" s="17"/>
      <c r="F57" s="17"/>
      <c r="G57" s="17"/>
      <c r="H57" s="17"/>
      <c r="I57" s="17"/>
      <c r="J57" s="18"/>
      <c r="K57"/>
      <c r="L57" s="13"/>
      <c r="M57"/>
      <c r="AJ57" s="204"/>
      <c r="AK57" s="204"/>
      <c r="AL57" s="204"/>
      <c r="AM57" s="204"/>
      <c r="BN57" s="14"/>
    </row>
    <row r="58" spans="1:73" s="19" customFormat="1">
      <c r="A58" s="16">
        <v>91</v>
      </c>
      <c r="B58" s="17"/>
      <c r="C58" s="17"/>
      <c r="D58" s="17"/>
      <c r="E58" s="17"/>
      <c r="F58" s="17"/>
      <c r="G58" s="17"/>
      <c r="H58" s="17"/>
      <c r="I58" s="17"/>
      <c r="J58" s="18"/>
      <c r="K58"/>
      <c r="L58" s="13"/>
      <c r="M58"/>
      <c r="AJ58" s="204"/>
      <c r="AK58" s="204"/>
      <c r="AL58" s="204"/>
      <c r="AM58" s="204"/>
      <c r="BO58" s="14"/>
    </row>
    <row r="59" spans="1:73" s="19" customFormat="1">
      <c r="A59" s="16">
        <v>95</v>
      </c>
      <c r="B59" s="17"/>
      <c r="C59" s="17"/>
      <c r="D59" s="17"/>
      <c r="E59" s="17"/>
      <c r="F59" s="17"/>
      <c r="G59" s="17"/>
      <c r="H59" s="17"/>
      <c r="I59" s="17"/>
      <c r="J59" s="18"/>
      <c r="K59"/>
      <c r="L59" s="13"/>
      <c r="M59"/>
      <c r="AJ59" s="204"/>
      <c r="AK59" s="204"/>
      <c r="AL59" s="204"/>
      <c r="AM59" s="204"/>
      <c r="BP59" s="14"/>
    </row>
    <row r="60" spans="1:73" s="19" customFormat="1">
      <c r="A60" s="16">
        <v>96</v>
      </c>
      <c r="B60" s="17"/>
      <c r="C60" s="17"/>
      <c r="D60" s="17"/>
      <c r="E60" s="17"/>
      <c r="F60" s="17"/>
      <c r="G60" s="17"/>
      <c r="H60" s="17"/>
      <c r="I60" s="17"/>
      <c r="J60" s="18"/>
      <c r="K60"/>
      <c r="L60" s="13"/>
      <c r="M60"/>
      <c r="AJ60" s="204"/>
      <c r="AK60" s="204"/>
      <c r="AL60" s="204"/>
      <c r="AM60" s="204"/>
      <c r="BQ60" s="14"/>
    </row>
    <row r="61" spans="1:73" s="19" customFormat="1">
      <c r="A61" s="16">
        <v>97</v>
      </c>
      <c r="B61" s="17"/>
      <c r="C61" s="17"/>
      <c r="D61" s="17"/>
      <c r="E61" s="17"/>
      <c r="F61" s="17"/>
      <c r="G61" s="17"/>
      <c r="H61" s="17"/>
      <c r="I61" s="17"/>
      <c r="J61" s="18"/>
      <c r="K61"/>
      <c r="L61" s="13"/>
      <c r="M61"/>
      <c r="AJ61" s="204"/>
      <c r="AK61" s="204"/>
      <c r="AL61" s="204"/>
      <c r="AM61" s="204"/>
      <c r="BR61" s="14"/>
    </row>
    <row r="62" spans="1:73" s="19" customFormat="1">
      <c r="A62" s="16">
        <v>98</v>
      </c>
      <c r="B62" s="17"/>
      <c r="C62" s="17"/>
      <c r="D62" s="17"/>
      <c r="E62" s="17"/>
      <c r="F62" s="17"/>
      <c r="G62" s="17"/>
      <c r="H62" s="17"/>
      <c r="I62" s="17"/>
      <c r="J62" s="18"/>
      <c r="K62"/>
      <c r="L62" s="13"/>
      <c r="M62"/>
      <c r="AJ62" s="204"/>
      <c r="AK62" s="204"/>
      <c r="AL62" s="204"/>
      <c r="AM62" s="204"/>
      <c r="BS62" s="14"/>
    </row>
    <row r="63" spans="1:73" s="19" customFormat="1">
      <c r="A63" s="16">
        <v>99</v>
      </c>
      <c r="B63" s="17"/>
      <c r="C63" s="17"/>
      <c r="D63" s="17"/>
      <c r="E63" s="17"/>
      <c r="F63" s="17"/>
      <c r="G63" s="17"/>
      <c r="H63" s="17"/>
      <c r="I63" s="17"/>
      <c r="J63" s="18"/>
      <c r="K63"/>
      <c r="L63" s="13"/>
      <c r="M63"/>
      <c r="AJ63" s="204"/>
      <c r="AK63" s="204"/>
      <c r="AL63" s="204"/>
      <c r="AM63" s="204"/>
      <c r="BT63" s="14"/>
    </row>
    <row r="64" spans="1:73" s="19" customFormat="1">
      <c r="A64" s="16">
        <v>100</v>
      </c>
      <c r="B64" s="17"/>
      <c r="C64" s="17"/>
      <c r="D64" s="17"/>
      <c r="E64" s="17"/>
      <c r="F64" s="17"/>
      <c r="G64" s="17"/>
      <c r="H64" s="17"/>
      <c r="I64" s="17"/>
      <c r="J64" s="18"/>
      <c r="K64"/>
      <c r="L64" s="13"/>
      <c r="M64"/>
      <c r="AJ64" s="204"/>
      <c r="AK64" s="204"/>
      <c r="AL64" s="204"/>
      <c r="AM64" s="204"/>
      <c r="BU64" s="1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CC"/>
  </sheetPr>
  <dimension ref="A1:U46"/>
  <sheetViews>
    <sheetView zoomScale="90" zoomScaleNormal="90" workbookViewId="0">
      <selection activeCell="C21" sqref="C21"/>
    </sheetView>
  </sheetViews>
  <sheetFormatPr baseColWidth="10" defaultColWidth="11.5" defaultRowHeight="15"/>
  <cols>
    <col min="1" max="1" width="4.33203125" style="49" customWidth="1"/>
    <col min="2" max="2" width="5" style="49" customWidth="1"/>
    <col min="3" max="3" width="20.6640625" style="49" customWidth="1"/>
    <col min="4" max="4" width="9.1640625" style="49" hidden="1" customWidth="1"/>
    <col min="5" max="6" width="7.33203125" style="56" bestFit="1" customWidth="1"/>
    <col min="7" max="7" width="6.33203125" style="56" bestFit="1" customWidth="1"/>
    <col min="8" max="8" width="10.1640625" style="56" bestFit="1" customWidth="1"/>
    <col min="9" max="9" width="4.6640625" style="49" bestFit="1" customWidth="1"/>
    <col min="10" max="10" width="41" style="49" customWidth="1"/>
    <col min="11" max="11" width="9.33203125" style="49" bestFit="1" customWidth="1"/>
    <col min="12" max="12" width="12.6640625" style="49" customWidth="1"/>
    <col min="13" max="13" width="16.1640625" style="49" customWidth="1"/>
    <col min="14" max="14" width="17" style="49" customWidth="1"/>
    <col min="15" max="15" width="18.5" style="49" bestFit="1" customWidth="1"/>
    <col min="16" max="16" width="11" style="49" customWidth="1"/>
    <col min="17" max="16384" width="11.5" style="49"/>
  </cols>
  <sheetData>
    <row r="1" spans="1:21" s="190" customFormat="1">
      <c r="A1" s="186"/>
      <c r="B1" s="186"/>
      <c r="C1" s="187" t="s">
        <v>95</v>
      </c>
      <c r="D1" s="188" t="s">
        <v>40</v>
      </c>
      <c r="E1" s="188" t="s">
        <v>41</v>
      </c>
      <c r="F1" s="188" t="s">
        <v>42</v>
      </c>
      <c r="G1" s="188" t="s">
        <v>85</v>
      </c>
      <c r="H1" s="188" t="s">
        <v>86</v>
      </c>
      <c r="I1" s="186" t="s">
        <v>33</v>
      </c>
      <c r="J1" s="186" t="s">
        <v>46</v>
      </c>
      <c r="K1" s="189" t="s">
        <v>99</v>
      </c>
      <c r="L1" s="186" t="s">
        <v>47</v>
      </c>
      <c r="M1" s="186" t="s">
        <v>48</v>
      </c>
    </row>
    <row r="2" spans="1:21">
      <c r="S2" s="49" t="s">
        <v>62</v>
      </c>
    </row>
    <row r="3" spans="1:21">
      <c r="B3" s="48" t="s">
        <v>55</v>
      </c>
      <c r="L3" s="56"/>
      <c r="M3" s="56"/>
      <c r="N3" s="49" t="s">
        <v>109</v>
      </c>
      <c r="O3" s="78">
        <f>17.9/1000</f>
        <v>1.7899999999999999E-2</v>
      </c>
      <c r="P3" s="78">
        <v>180</v>
      </c>
      <c r="Q3" s="78">
        <f>P3*O3</f>
        <v>3.222</v>
      </c>
      <c r="R3" s="78">
        <v>9.44</v>
      </c>
      <c r="S3" s="78">
        <f>R3*Q3/3600*9</f>
        <v>7.6039200000000001E-2</v>
      </c>
      <c r="T3" s="92"/>
      <c r="U3" s="78"/>
    </row>
    <row r="4" spans="1:21" ht="16">
      <c r="B4" s="183">
        <f>Foreground!A4</f>
        <v>1</v>
      </c>
      <c r="C4" s="324" t="str">
        <f>Foreground!B4</f>
        <v>1 ferry battery</v>
      </c>
      <c r="F4" s="84">
        <f>SUM(E6:E9)</f>
        <v>1</v>
      </c>
      <c r="H4" s="87">
        <f>SUM(H6:H9)</f>
        <v>81004.500000060012</v>
      </c>
      <c r="I4" s="49" t="s">
        <v>53</v>
      </c>
      <c r="O4" s="78"/>
      <c r="P4" s="78"/>
      <c r="Q4" s="78"/>
      <c r="R4" s="78"/>
      <c r="S4" s="78"/>
      <c r="T4" s="91"/>
      <c r="U4" s="78"/>
    </row>
    <row r="5" spans="1:21">
      <c r="B5" s="60" t="s">
        <v>54</v>
      </c>
      <c r="C5" s="298"/>
      <c r="H5" s="83"/>
    </row>
    <row r="6" spans="1:21" ht="16">
      <c r="B6" s="106">
        <f>Foreground!A5</f>
        <v>2</v>
      </c>
      <c r="C6" s="325" t="str">
        <f>Foreground!B5</f>
        <v>Battery packaging</v>
      </c>
      <c r="E6" s="56">
        <f>H6/$H$4</f>
        <v>0.92766327796609249</v>
      </c>
      <c r="H6" s="83">
        <f>'2_Battery_packaging'!G3*(8*2+7*2)*3</f>
        <v>75144.900000060006</v>
      </c>
      <c r="I6" s="49" t="s">
        <v>53</v>
      </c>
      <c r="M6" s="220"/>
      <c r="N6" s="49" t="s">
        <v>56</v>
      </c>
      <c r="O6" s="49" t="s">
        <v>102</v>
      </c>
      <c r="P6" s="49" t="s">
        <v>73</v>
      </c>
      <c r="R6" s="49" t="s">
        <v>72</v>
      </c>
      <c r="S6" s="49" t="s">
        <v>58</v>
      </c>
      <c r="T6" s="49" t="s">
        <v>84</v>
      </c>
    </row>
    <row r="7" spans="1:21" ht="16">
      <c r="B7" s="112">
        <f>Foreground!A6</f>
        <v>3</v>
      </c>
      <c r="C7" s="326" t="str">
        <f>Foreground!B6</f>
        <v>Control system</v>
      </c>
      <c r="E7" s="56">
        <f>H7/$H$4</f>
        <v>3.7560876247588061E-2</v>
      </c>
      <c r="H7" s="83">
        <f>'3_Control system'!G3*4*3</f>
        <v>3042.6000000000013</v>
      </c>
      <c r="I7" s="49" t="s">
        <v>53</v>
      </c>
      <c r="M7" s="220"/>
      <c r="O7" s="49">
        <v>1887.7</v>
      </c>
      <c r="P7" s="49">
        <v>0</v>
      </c>
      <c r="R7" s="49">
        <v>11434</v>
      </c>
      <c r="S7" s="49">
        <f>R7*naut2km/1000</f>
        <v>21.175768000000001</v>
      </c>
      <c r="T7" s="49">
        <f>R7*naut2km</f>
        <v>21175.768</v>
      </c>
    </row>
    <row r="8" spans="1:21" ht="16">
      <c r="B8" s="104">
        <f>Foreground!A7</f>
        <v>4</v>
      </c>
      <c r="C8" s="327" t="str">
        <f>Foreground!B7</f>
        <v>Cooling system</v>
      </c>
      <c r="E8" s="56">
        <f>H8/$H$4</f>
        <v>3.477584578631944E-2</v>
      </c>
      <c r="H8" s="83">
        <f>'4_Cooling_system'!G6*4*3</f>
        <v>2817</v>
      </c>
      <c r="I8" s="49" t="s">
        <v>53</v>
      </c>
      <c r="M8" s="220"/>
    </row>
    <row r="9" spans="1:21" ht="16">
      <c r="B9" s="182">
        <f>Foreground!A8</f>
        <v>5</v>
      </c>
      <c r="C9" s="328" t="str">
        <f>Foreground!B8</f>
        <v>Battery cell</v>
      </c>
      <c r="E9" s="56">
        <f>H9/$H$4</f>
        <v>0</v>
      </c>
      <c r="G9" s="56">
        <f>'5_Battery_cell'!G3</f>
        <v>0</v>
      </c>
      <c r="H9" s="83">
        <f>G9*9*28*(8*2+7*2)*3</f>
        <v>0</v>
      </c>
      <c r="I9" s="49" t="s">
        <v>53</v>
      </c>
      <c r="J9" s="321"/>
      <c r="M9" s="220"/>
    </row>
    <row r="10" spans="1:21">
      <c r="B10" s="48" t="s">
        <v>52</v>
      </c>
      <c r="C10" s="298"/>
      <c r="D10" s="53"/>
      <c r="E10" s="53"/>
      <c r="H10" s="85"/>
      <c r="J10" s="322"/>
      <c r="K10" s="101"/>
      <c r="L10" s="221"/>
    </row>
    <row r="11" spans="1:21" ht="32">
      <c r="B11" s="48"/>
      <c r="C11" s="298" t="s">
        <v>104</v>
      </c>
      <c r="D11" s="56"/>
      <c r="E11" s="72">
        <f>H11/H4</f>
        <v>1.0585662524704333E-2</v>
      </c>
      <c r="F11" s="53"/>
      <c r="H11" s="71">
        <v>857.48629998304739</v>
      </c>
      <c r="I11" s="49" t="s">
        <v>62</v>
      </c>
      <c r="J11" s="298" t="s">
        <v>74</v>
      </c>
      <c r="K11" s="49">
        <v>1159</v>
      </c>
      <c r="L11" s="222"/>
      <c r="M11" s="61"/>
    </row>
    <row r="12" spans="1:21" s="78" customFormat="1">
      <c r="B12" s="52" t="s">
        <v>51</v>
      </c>
      <c r="C12" s="323"/>
      <c r="D12" s="79"/>
      <c r="E12" s="79"/>
      <c r="F12" s="79"/>
      <c r="G12" s="79"/>
      <c r="H12" s="86"/>
      <c r="J12" s="323"/>
      <c r="K12" s="80"/>
      <c r="L12" s="68"/>
      <c r="M12" s="50"/>
      <c r="N12" s="49"/>
      <c r="O12" s="49"/>
      <c r="P12" s="49"/>
      <c r="Q12" s="49"/>
      <c r="R12" s="49"/>
      <c r="S12" s="49"/>
    </row>
    <row r="13" spans="1:21" s="78" customFormat="1" ht="16">
      <c r="B13" s="52"/>
      <c r="C13" s="323" t="s">
        <v>114</v>
      </c>
      <c r="D13" s="79"/>
      <c r="E13" s="79">
        <f>H13/H4</f>
        <v>2.3229454739311679E-8</v>
      </c>
      <c r="F13" s="79"/>
      <c r="G13" s="79"/>
      <c r="H13" s="86">
        <v>1.8816903664319669E-3</v>
      </c>
      <c r="I13" s="78" t="s">
        <v>50</v>
      </c>
      <c r="J13" s="298" t="s">
        <v>49</v>
      </c>
      <c r="K13" s="69">
        <v>3724</v>
      </c>
      <c r="L13" s="68"/>
      <c r="M13" s="67"/>
      <c r="N13" s="49"/>
      <c r="O13" s="49"/>
      <c r="P13" s="49"/>
      <c r="Q13" s="49"/>
      <c r="R13" s="49"/>
      <c r="S13" s="49"/>
    </row>
    <row r="14" spans="1:21">
      <c r="B14" s="60" t="s">
        <v>56</v>
      </c>
      <c r="C14" s="298"/>
      <c r="J14" s="298"/>
    </row>
    <row r="15" spans="1:21" ht="48">
      <c r="B15" s="60"/>
      <c r="C15" s="298" t="s">
        <v>80</v>
      </c>
      <c r="E15" s="56">
        <f>(O7+P7)/1000*E9</f>
        <v>0</v>
      </c>
      <c r="I15" s="49" t="s">
        <v>58</v>
      </c>
      <c r="J15" s="298" t="s">
        <v>105</v>
      </c>
      <c r="K15" s="49">
        <v>2795</v>
      </c>
      <c r="M15" s="246" t="s">
        <v>115</v>
      </c>
    </row>
    <row r="16" spans="1:21" ht="32">
      <c r="C16" s="298" t="s">
        <v>71</v>
      </c>
      <c r="E16" s="56">
        <f>S7*E9</f>
        <v>0</v>
      </c>
      <c r="I16" s="49" t="s">
        <v>58</v>
      </c>
      <c r="J16" s="298" t="s">
        <v>106</v>
      </c>
      <c r="K16" s="49">
        <v>13980</v>
      </c>
      <c r="M16" s="246" t="s">
        <v>147</v>
      </c>
    </row>
    <row r="17" spans="3:10">
      <c r="C17" s="298"/>
    </row>
    <row r="18" spans="3:10">
      <c r="C18" s="298"/>
    </row>
    <row r="19" spans="3:10">
      <c r="C19" s="298"/>
    </row>
    <row r="20" spans="3:10">
      <c r="E20" s="198"/>
      <c r="G20" s="198"/>
      <c r="H20" s="198"/>
    </row>
    <row r="21" spans="3:10">
      <c r="E21" s="198"/>
      <c r="G21" s="198"/>
      <c r="H21" s="198"/>
    </row>
    <row r="22" spans="3:10">
      <c r="E22" s="82"/>
      <c r="G22" s="198"/>
      <c r="H22" s="93"/>
      <c r="I22" s="56"/>
      <c r="J22" s="56"/>
    </row>
    <row r="23" spans="3:10">
      <c r="E23" s="198"/>
      <c r="F23" s="340"/>
      <c r="G23" s="198"/>
    </row>
    <row r="24" spans="3:10">
      <c r="E24" s="198"/>
      <c r="F24" s="340"/>
    </row>
    <row r="25" spans="3:10">
      <c r="E25" s="198"/>
      <c r="F25" s="340"/>
    </row>
    <row r="26" spans="3:10">
      <c r="E26" s="82"/>
      <c r="F26" s="340"/>
    </row>
    <row r="27" spans="3:10">
      <c r="E27" s="198"/>
      <c r="F27" s="340"/>
    </row>
    <row r="28" spans="3:10">
      <c r="E28" s="198"/>
    </row>
    <row r="29" spans="3:10">
      <c r="F29" s="93"/>
    </row>
    <row r="30" spans="3:10">
      <c r="E30" s="82"/>
      <c r="F30" s="93"/>
    </row>
    <row r="31" spans="3:10">
      <c r="E31" s="198"/>
    </row>
    <row r="33" spans="3:13">
      <c r="E33" s="198"/>
      <c r="F33" s="196"/>
    </row>
    <row r="34" spans="3:13">
      <c r="E34" s="198"/>
    </row>
    <row r="35" spans="3:13">
      <c r="E35" s="81"/>
      <c r="F35" s="81"/>
    </row>
    <row r="36" spans="3:13">
      <c r="E36" s="198"/>
      <c r="H36" s="198"/>
    </row>
    <row r="37" spans="3:13">
      <c r="C37" s="59"/>
    </row>
    <row r="39" spans="3:13">
      <c r="C39" s="59"/>
    </row>
    <row r="42" spans="3:13">
      <c r="C42" s="198"/>
      <c r="D42" s="198"/>
      <c r="E42" s="198"/>
      <c r="F42" s="198"/>
      <c r="I42" s="198"/>
      <c r="J42" s="56"/>
    </row>
    <row r="43" spans="3:13">
      <c r="C43" s="82"/>
      <c r="D43" s="82"/>
      <c r="E43" s="93"/>
      <c r="F43" s="82"/>
      <c r="H43" s="82"/>
      <c r="I43" s="93"/>
      <c r="J43" s="56"/>
      <c r="L43" s="56"/>
      <c r="M43" s="56"/>
    </row>
    <row r="44" spans="3:13">
      <c r="C44" s="198"/>
      <c r="D44" s="198"/>
      <c r="E44" s="93"/>
      <c r="F44" s="198"/>
      <c r="I44" s="93"/>
      <c r="J44" s="56"/>
      <c r="L44" s="198"/>
    </row>
    <row r="45" spans="3:13">
      <c r="C45" s="81"/>
      <c r="D45" s="81"/>
      <c r="F45" s="81"/>
    </row>
    <row r="46" spans="3:13">
      <c r="C46" s="81"/>
      <c r="D46" s="81"/>
      <c r="E46" s="81"/>
      <c r="F46" s="81"/>
    </row>
  </sheetData>
  <hyperlinks>
    <hyperlink ref="M15" r:id="rId1" xr:uid="{8941DABF-0438-BF43-BD47-72DFDDCF61A8}"/>
    <hyperlink ref="M16" r:id="rId2" xr:uid="{AEC9CF6D-114B-4877-BFEE-D5163669D25B}"/>
  </hyperlinks>
  <pageMargins left="0.7" right="0.7" top="0.75" bottom="0.75" header="0.3" footer="0.3"/>
  <pageSetup paperSize="9" orientation="portrait" horizontalDpi="4294967293" verticalDpi="4294967293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 tint="-0.249977111117893"/>
  </sheetPr>
  <dimension ref="A1:T76"/>
  <sheetViews>
    <sheetView zoomScale="90" zoomScaleNormal="90" workbookViewId="0">
      <pane ySplit="1" topLeftCell="A2" activePane="bottomLeft" state="frozen"/>
      <selection pane="bottomLeft" activeCell="B8" sqref="B8:C10"/>
    </sheetView>
  </sheetViews>
  <sheetFormatPr baseColWidth="10" defaultColWidth="11.5" defaultRowHeight="15"/>
  <cols>
    <col min="1" max="1" width="3" style="44" customWidth="1"/>
    <col min="2" max="2" width="3.5" style="44" customWidth="1"/>
    <col min="3" max="3" width="20.83203125" style="44" customWidth="1"/>
    <col min="4" max="4" width="7" style="120" bestFit="1" customWidth="1"/>
    <col min="5" max="5" width="7.33203125" style="44" bestFit="1" customWidth="1"/>
    <col min="6" max="6" width="9.83203125" style="44" bestFit="1" customWidth="1"/>
    <col min="7" max="7" width="14" style="120" bestFit="1" customWidth="1"/>
    <col min="8" max="8" width="4.6640625" style="44" bestFit="1" customWidth="1"/>
    <col min="9" max="9" width="40.83203125" style="44" customWidth="1"/>
    <col min="10" max="10" width="7.33203125" style="44" bestFit="1" customWidth="1"/>
    <col min="11" max="11" width="9.1640625" style="128" customWidth="1"/>
    <col min="12" max="16384" width="11.5" style="44"/>
  </cols>
  <sheetData>
    <row r="1" spans="1:20">
      <c r="A1" s="48"/>
      <c r="B1" s="48"/>
      <c r="C1" s="48" t="s">
        <v>39</v>
      </c>
      <c r="D1" s="144" t="s">
        <v>41</v>
      </c>
      <c r="E1" s="76" t="s">
        <v>42</v>
      </c>
      <c r="F1" s="151" t="s">
        <v>43</v>
      </c>
      <c r="G1" s="152" t="s">
        <v>75</v>
      </c>
      <c r="H1" s="48" t="s">
        <v>33</v>
      </c>
      <c r="I1" s="48" t="s">
        <v>46</v>
      </c>
      <c r="J1" s="77"/>
    </row>
    <row r="2" spans="1:20">
      <c r="F2" s="153"/>
      <c r="G2" s="154"/>
    </row>
    <row r="3" spans="1:20" s="162" customFormat="1">
      <c r="A3" s="162">
        <f>Foreground!A5</f>
        <v>2</v>
      </c>
      <c r="B3" s="162" t="str">
        <f>Foreground!B5</f>
        <v>Battery packaging</v>
      </c>
      <c r="C3" s="265"/>
      <c r="D3" s="163"/>
      <c r="F3" s="164"/>
      <c r="G3" s="347">
        <f>G6*1</f>
        <v>834.94333333400016</v>
      </c>
      <c r="K3" s="185"/>
      <c r="L3" s="122"/>
      <c r="M3" s="122"/>
      <c r="N3" s="122"/>
      <c r="O3" s="122"/>
      <c r="P3" s="122"/>
      <c r="Q3" s="122"/>
      <c r="R3" s="122"/>
      <c r="S3" s="122"/>
      <c r="T3" s="122"/>
    </row>
    <row r="4" spans="1:20">
      <c r="F4" s="153"/>
      <c r="G4" s="158"/>
    </row>
    <row r="5" spans="1:20">
      <c r="B5" s="48" t="s">
        <v>55</v>
      </c>
      <c r="F5" s="153"/>
      <c r="G5" s="158"/>
    </row>
    <row r="6" spans="1:20">
      <c r="B6" s="44">
        <f>A3</f>
        <v>2</v>
      </c>
      <c r="C6" s="44" t="str">
        <f>B3</f>
        <v>Battery packaging</v>
      </c>
      <c r="E6" s="118">
        <f>SUM(D8:D10)</f>
        <v>1</v>
      </c>
      <c r="F6" s="155"/>
      <c r="G6" s="158">
        <f>SUM(G8:G10)</f>
        <v>834.94333333400016</v>
      </c>
      <c r="H6" s="44" t="s">
        <v>53</v>
      </c>
      <c r="I6" s="301"/>
      <c r="N6" s="197"/>
      <c r="O6" s="336"/>
    </row>
    <row r="7" spans="1:20">
      <c r="B7" s="118" t="s">
        <v>54</v>
      </c>
      <c r="F7" s="153"/>
      <c r="G7" s="158"/>
      <c r="I7" s="301"/>
      <c r="N7" s="120"/>
      <c r="O7" s="336"/>
    </row>
    <row r="8" spans="1:20" ht="16">
      <c r="B8" s="165">
        <f>Foreground!A9</f>
        <v>6</v>
      </c>
      <c r="C8" s="316" t="str">
        <f>Foreground!B9</f>
        <v>Battery pack frame</v>
      </c>
      <c r="D8" s="120">
        <f>G8/$G$6</f>
        <v>0.34917738928442316</v>
      </c>
      <c r="F8" s="156"/>
      <c r="G8" s="158">
        <f>G15</f>
        <v>291.54333333400007</v>
      </c>
      <c r="H8" s="44" t="s">
        <v>53</v>
      </c>
      <c r="I8" s="306"/>
      <c r="J8" s="251"/>
      <c r="K8" s="44"/>
      <c r="N8" s="120"/>
      <c r="O8" s="336"/>
    </row>
    <row r="9" spans="1:20" ht="16">
      <c r="B9" s="165">
        <f>Foreground!A10</f>
        <v>7</v>
      </c>
      <c r="C9" s="316" t="str">
        <f>Foreground!B10</f>
        <v>BIP</v>
      </c>
      <c r="D9" s="120">
        <f>G9/$G$6</f>
        <v>3.6409656543528769E-2</v>
      </c>
      <c r="F9" s="156"/>
      <c r="G9" s="158">
        <f>G32</f>
        <v>30.4</v>
      </c>
      <c r="H9" s="44" t="s">
        <v>53</v>
      </c>
      <c r="I9" s="306"/>
      <c r="J9" s="285"/>
      <c r="K9" s="44"/>
      <c r="N9" s="120"/>
      <c r="O9" s="336"/>
    </row>
    <row r="10" spans="1:20" ht="16">
      <c r="B10" s="165">
        <f>Foreground!A11</f>
        <v>8</v>
      </c>
      <c r="C10" s="316" t="str">
        <f>Foreground!B11</f>
        <v>Module packaging</v>
      </c>
      <c r="D10" s="120">
        <f>G10/$G$6</f>
        <v>0.61441295417204811</v>
      </c>
      <c r="E10" s="118"/>
      <c r="F10" s="155"/>
      <c r="G10" s="158">
        <f>G47*9</f>
        <v>513.00000000000011</v>
      </c>
      <c r="H10" s="44" t="s">
        <v>53</v>
      </c>
      <c r="I10" s="307" t="s">
        <v>112</v>
      </c>
      <c r="O10" s="336"/>
    </row>
    <row r="11" spans="1:20">
      <c r="B11" s="118" t="s">
        <v>56</v>
      </c>
      <c r="C11" s="301"/>
      <c r="F11" s="156"/>
      <c r="G11" s="158"/>
      <c r="I11" s="301"/>
      <c r="N11" s="120"/>
      <c r="O11" s="336"/>
    </row>
    <row r="12" spans="1:20" ht="48">
      <c r="B12" s="118"/>
      <c r="C12" s="301" t="s">
        <v>76</v>
      </c>
      <c r="D12" s="120">
        <v>0</v>
      </c>
      <c r="F12" s="156"/>
      <c r="G12" s="158"/>
      <c r="H12" s="44" t="s">
        <v>58</v>
      </c>
      <c r="I12" s="304" t="s">
        <v>105</v>
      </c>
      <c r="J12" s="31">
        <v>2795</v>
      </c>
      <c r="O12" s="336"/>
    </row>
    <row r="13" spans="1:20" ht="32">
      <c r="C13" s="301" t="s">
        <v>77</v>
      </c>
      <c r="D13" s="120">
        <v>0</v>
      </c>
      <c r="F13" s="156"/>
      <c r="G13" s="158"/>
      <c r="H13" s="44" t="s">
        <v>58</v>
      </c>
      <c r="I13" s="304" t="s">
        <v>106</v>
      </c>
      <c r="J13" s="31">
        <v>13980</v>
      </c>
      <c r="O13" s="336"/>
    </row>
    <row r="14" spans="1:20">
      <c r="A14" s="125"/>
      <c r="C14" s="301"/>
      <c r="F14" s="156"/>
      <c r="G14" s="158"/>
      <c r="I14" s="306"/>
      <c r="J14" s="51"/>
      <c r="O14" s="336"/>
    </row>
    <row r="15" spans="1:20" s="166" customFormat="1">
      <c r="A15" s="166">
        <f>B8</f>
        <v>6</v>
      </c>
      <c r="B15" s="166" t="str">
        <f>C8</f>
        <v>Battery pack frame</v>
      </c>
      <c r="C15" s="312"/>
      <c r="D15" s="167"/>
      <c r="F15" s="168"/>
      <c r="G15" s="348">
        <f>G18</f>
        <v>291.54333333400007</v>
      </c>
      <c r="I15" s="308"/>
      <c r="J15" s="169"/>
      <c r="K15" s="185"/>
      <c r="L15" s="122"/>
      <c r="M15" s="122"/>
      <c r="N15" s="122"/>
      <c r="O15" s="337"/>
      <c r="P15" s="122"/>
      <c r="Q15" s="122"/>
      <c r="R15" s="122"/>
      <c r="S15" s="122"/>
      <c r="T15" s="122"/>
    </row>
    <row r="16" spans="1:20">
      <c r="C16" s="301"/>
      <c r="F16" s="153"/>
      <c r="G16" s="158"/>
      <c r="I16" s="301"/>
    </row>
    <row r="17" spans="1:20">
      <c r="B17" s="48" t="s">
        <v>55</v>
      </c>
      <c r="C17" s="301"/>
      <c r="F17" s="153"/>
      <c r="G17" s="158"/>
      <c r="I17" s="301"/>
    </row>
    <row r="18" spans="1:20" ht="16">
      <c r="C18" s="301" t="str">
        <f>C8</f>
        <v>Battery pack frame</v>
      </c>
      <c r="E18" s="247">
        <f>SUM(D20:D26)</f>
        <v>0.97713318774687075</v>
      </c>
      <c r="F18" s="155"/>
      <c r="G18" s="158">
        <f>SUM(G20:G27)</f>
        <v>291.54333333400007</v>
      </c>
      <c r="H18" s="44" t="s">
        <v>53</v>
      </c>
      <c r="I18" s="301"/>
    </row>
    <row r="19" spans="1:20">
      <c r="B19" s="118" t="s">
        <v>54</v>
      </c>
      <c r="C19" s="301"/>
      <c r="F19" s="153"/>
      <c r="G19" s="158"/>
      <c r="I19" s="301"/>
      <c r="J19" s="131"/>
    </row>
    <row r="20" spans="1:20" ht="48">
      <c r="C20" s="301" t="s">
        <v>158</v>
      </c>
      <c r="D20" s="120">
        <f t="shared" ref="D20:D27" si="0">G20/$G$18</f>
        <v>0.85451726517710935</v>
      </c>
      <c r="F20" s="156"/>
      <c r="G20" s="158">
        <f>(109.2/1.01)+68+2*12.35*0.5+60.66</f>
        <v>249.12881188118811</v>
      </c>
      <c r="H20" s="44" t="s">
        <v>53</v>
      </c>
      <c r="I20" s="306" t="s">
        <v>131</v>
      </c>
      <c r="J20" s="245">
        <v>1914</v>
      </c>
    </row>
    <row r="21" spans="1:20" ht="32">
      <c r="C21" s="301" t="s">
        <v>153</v>
      </c>
      <c r="D21" s="120">
        <f>G21/$G$18</f>
        <v>3.7084988582923332E-3</v>
      </c>
      <c r="F21" s="156"/>
      <c r="G21" s="158">
        <f>(109.2-(109.2/1.01))</f>
        <v>1.0811881188118804</v>
      </c>
      <c r="H21" s="44" t="s">
        <v>53</v>
      </c>
      <c r="I21" s="306" t="s">
        <v>143</v>
      </c>
      <c r="J21" s="245">
        <v>8027</v>
      </c>
    </row>
    <row r="22" spans="1:20" ht="32">
      <c r="C22" s="301" t="s">
        <v>159</v>
      </c>
      <c r="D22" s="120">
        <f t="shared" si="0"/>
        <v>8.4264203149710684E-2</v>
      </c>
      <c r="F22" s="156"/>
      <c r="G22" s="158">
        <f>17.9+6.666666667</f>
        <v>24.566666667</v>
      </c>
      <c r="H22" s="44" t="s">
        <v>53</v>
      </c>
      <c r="I22" s="301" t="s">
        <v>132</v>
      </c>
      <c r="J22" s="44">
        <v>1799</v>
      </c>
    </row>
    <row r="23" spans="1:20" ht="32">
      <c r="C23" s="301" t="s">
        <v>155</v>
      </c>
      <c r="D23" s="120">
        <f t="shared" si="0"/>
        <v>2.6068165967263707E-2</v>
      </c>
      <c r="F23" s="156"/>
      <c r="G23" s="158">
        <f>7.6</f>
        <v>7.6</v>
      </c>
      <c r="H23" s="44" t="s">
        <v>53</v>
      </c>
      <c r="I23" s="309" t="s">
        <v>133</v>
      </c>
      <c r="J23" s="245">
        <v>7886</v>
      </c>
    </row>
    <row r="24" spans="1:20" ht="16">
      <c r="C24" s="301" t="s">
        <v>125</v>
      </c>
      <c r="D24" s="120">
        <f t="shared" si="0"/>
        <v>6.1740393080361418E-3</v>
      </c>
      <c r="F24" s="156"/>
      <c r="G24" s="158">
        <f>1.8</f>
        <v>1.8</v>
      </c>
      <c r="H24" s="44" t="s">
        <v>53</v>
      </c>
      <c r="I24" s="309" t="s">
        <v>134</v>
      </c>
      <c r="J24" s="44">
        <v>1358</v>
      </c>
    </row>
    <row r="25" spans="1:20" ht="32">
      <c r="C25" s="301" t="s">
        <v>118</v>
      </c>
      <c r="D25" s="120">
        <f t="shared" si="0"/>
        <v>1.2005076432292498E-3</v>
      </c>
      <c r="F25" s="156"/>
      <c r="G25" s="158">
        <f>0.5*0.7</f>
        <v>0.35</v>
      </c>
      <c r="H25" s="44" t="s">
        <v>53</v>
      </c>
      <c r="I25" s="309" t="s">
        <v>135</v>
      </c>
      <c r="J25" s="245">
        <v>2684</v>
      </c>
    </row>
    <row r="26" spans="1:20" ht="48">
      <c r="C26" s="301" t="s">
        <v>119</v>
      </c>
      <c r="D26" s="120">
        <f t="shared" si="0"/>
        <v>1.2005076432292498E-3</v>
      </c>
      <c r="F26" s="156"/>
      <c r="G26" s="158">
        <f>0.5*0.7</f>
        <v>0.35</v>
      </c>
      <c r="H26" s="44" t="s">
        <v>53</v>
      </c>
      <c r="I26" s="310" t="s">
        <v>136</v>
      </c>
      <c r="J26" s="284">
        <v>1205</v>
      </c>
      <c r="K26" s="88"/>
    </row>
    <row r="27" spans="1:20" ht="32">
      <c r="C27" s="301" t="s">
        <v>160</v>
      </c>
      <c r="D27" s="120">
        <f t="shared" si="0"/>
        <v>2.2866812253129053E-2</v>
      </c>
      <c r="F27" s="156"/>
      <c r="G27" s="158">
        <v>6.6666666670000003</v>
      </c>
      <c r="H27" s="44" t="s">
        <v>53</v>
      </c>
      <c r="I27" s="310" t="s">
        <v>161</v>
      </c>
      <c r="J27" s="341">
        <v>2655</v>
      </c>
      <c r="K27" s="88"/>
    </row>
    <row r="28" spans="1:20">
      <c r="B28" s="118" t="s">
        <v>56</v>
      </c>
      <c r="C28" s="301"/>
      <c r="F28" s="156"/>
      <c r="G28" s="158"/>
      <c r="I28" s="301"/>
    </row>
    <row r="29" spans="1:20" ht="32">
      <c r="B29" s="118"/>
      <c r="C29" s="301" t="s">
        <v>57</v>
      </c>
      <c r="D29" s="120">
        <f>0.2*SUM(D20:D27)</f>
        <v>0.19999999999999996</v>
      </c>
      <c r="F29" s="156"/>
      <c r="G29" s="158"/>
      <c r="H29" s="44" t="s">
        <v>58</v>
      </c>
      <c r="I29" s="311" t="s">
        <v>107</v>
      </c>
      <c r="J29" s="35">
        <v>13687</v>
      </c>
    </row>
    <row r="30" spans="1:20" ht="48">
      <c r="C30" s="301" t="s">
        <v>59</v>
      </c>
      <c r="D30" s="120">
        <f>0.1*SUM(D20:D27)</f>
        <v>9.9999999999999978E-2</v>
      </c>
      <c r="F30" s="156"/>
      <c r="G30" s="158"/>
      <c r="H30" s="44" t="s">
        <v>58</v>
      </c>
      <c r="I30" s="303" t="s">
        <v>108</v>
      </c>
      <c r="J30" s="29">
        <v>2809</v>
      </c>
    </row>
    <row r="31" spans="1:20">
      <c r="A31" s="125"/>
      <c r="C31" s="301"/>
      <c r="F31" s="156"/>
      <c r="G31" s="158"/>
      <c r="I31" s="301"/>
    </row>
    <row r="32" spans="1:20" s="165" customFormat="1">
      <c r="A32" s="166">
        <f>B9</f>
        <v>7</v>
      </c>
      <c r="B32" s="166" t="str">
        <f>C9</f>
        <v>BIP</v>
      </c>
      <c r="C32" s="312"/>
      <c r="D32" s="167"/>
      <c r="E32" s="166"/>
      <c r="F32" s="168"/>
      <c r="G32" s="348">
        <f>G35*1</f>
        <v>30.4</v>
      </c>
      <c r="H32" s="166"/>
      <c r="I32" s="312"/>
      <c r="J32" s="166"/>
      <c r="K32" s="128"/>
      <c r="L32" s="44"/>
      <c r="M32" s="44"/>
      <c r="N32" s="44"/>
      <c r="O32" s="44"/>
      <c r="P32" s="44"/>
      <c r="Q32" s="44"/>
      <c r="R32" s="44"/>
      <c r="S32" s="44"/>
      <c r="T32" s="44"/>
    </row>
    <row r="33" spans="1:13">
      <c r="A33" s="252"/>
      <c r="B33" s="252"/>
      <c r="C33" s="302"/>
      <c r="D33" s="253"/>
      <c r="E33" s="252"/>
      <c r="F33" s="254"/>
      <c r="G33" s="346"/>
      <c r="H33" s="252"/>
      <c r="I33" s="302"/>
      <c r="J33" s="252"/>
    </row>
    <row r="34" spans="1:13">
      <c r="A34" s="252"/>
      <c r="B34" s="256" t="s">
        <v>55</v>
      </c>
      <c r="C34" s="302"/>
      <c r="D34" s="253"/>
      <c r="E34" s="252"/>
      <c r="F34" s="254"/>
      <c r="G34" s="346"/>
      <c r="H34" s="252"/>
      <c r="I34" s="302"/>
      <c r="J34" s="252"/>
    </row>
    <row r="35" spans="1:13" ht="16">
      <c r="A35" s="252"/>
      <c r="B35" s="252">
        <f>A32</f>
        <v>7</v>
      </c>
      <c r="C35" s="302" t="str">
        <f>B32</f>
        <v>BIP</v>
      </c>
      <c r="D35" s="253"/>
      <c r="E35" s="294">
        <f>SUM(D37:D42)</f>
        <v>1</v>
      </c>
      <c r="F35" s="254"/>
      <c r="G35" s="346">
        <f>SUM(G37:G42)</f>
        <v>30.4</v>
      </c>
      <c r="H35" s="252" t="s">
        <v>53</v>
      </c>
      <c r="I35" s="302"/>
      <c r="J35" s="252"/>
    </row>
    <row r="36" spans="1:13">
      <c r="A36" s="252"/>
      <c r="B36" s="257" t="s">
        <v>54</v>
      </c>
      <c r="C36" s="302"/>
      <c r="D36" s="253"/>
      <c r="E36" s="252"/>
      <c r="F36" s="254"/>
      <c r="G36" s="346"/>
      <c r="H36" s="252"/>
      <c r="I36" s="302"/>
      <c r="J36" s="252"/>
      <c r="L36" s="120"/>
      <c r="M36" s="120"/>
    </row>
    <row r="37" spans="1:13" ht="32">
      <c r="A37" s="252"/>
      <c r="B37" s="252"/>
      <c r="C37" s="302" t="s">
        <v>154</v>
      </c>
      <c r="D37" s="253">
        <f t="shared" ref="D37:D42" si="1">G37/$G$35</f>
        <v>0.51784783741532048</v>
      </c>
      <c r="E37" s="252"/>
      <c r="F37" s="258"/>
      <c r="G37" s="346">
        <f>15.9/1.01</f>
        <v>15.742574257425742</v>
      </c>
      <c r="H37" s="252" t="s">
        <v>53</v>
      </c>
      <c r="I37" s="313" t="s">
        <v>131</v>
      </c>
      <c r="J37" s="252">
        <v>1914</v>
      </c>
      <c r="L37" s="120"/>
      <c r="M37" s="120"/>
    </row>
    <row r="38" spans="1:13" ht="32">
      <c r="A38" s="252"/>
      <c r="B38" s="252"/>
      <c r="C38" s="302" t="s">
        <v>153</v>
      </c>
      <c r="D38" s="253">
        <f t="shared" si="1"/>
        <v>5.1784783741532243E-3</v>
      </c>
      <c r="E38" s="252"/>
      <c r="F38" s="258"/>
      <c r="G38" s="346">
        <f>(15.9-(15.9/1.01))</f>
        <v>0.15742574257425801</v>
      </c>
      <c r="H38" s="252" t="s">
        <v>53</v>
      </c>
      <c r="I38" s="313" t="s">
        <v>143</v>
      </c>
      <c r="J38" s="252">
        <v>8027</v>
      </c>
      <c r="L38" s="120"/>
      <c r="M38" s="120"/>
    </row>
    <row r="39" spans="1:13" ht="16">
      <c r="A39" s="252"/>
      <c r="B39" s="252"/>
      <c r="C39" s="302" t="s">
        <v>60</v>
      </c>
      <c r="D39" s="253">
        <f t="shared" si="1"/>
        <v>1.9736842105263157E-2</v>
      </c>
      <c r="E39" s="252"/>
      <c r="F39" s="259"/>
      <c r="G39" s="346">
        <f>0.6</f>
        <v>0.6</v>
      </c>
      <c r="H39" s="252" t="s">
        <v>53</v>
      </c>
      <c r="I39" s="302" t="s">
        <v>132</v>
      </c>
      <c r="J39" s="252">
        <v>1799</v>
      </c>
      <c r="L39" s="120"/>
      <c r="M39" s="120"/>
    </row>
    <row r="40" spans="1:13" ht="16">
      <c r="A40" s="252"/>
      <c r="B40" s="252"/>
      <c r="C40" s="302" t="s">
        <v>120</v>
      </c>
      <c r="D40" s="253">
        <f t="shared" si="1"/>
        <v>5.2631578947368429E-3</v>
      </c>
      <c r="E40" s="252"/>
      <c r="F40" s="259"/>
      <c r="G40" s="346">
        <f>0.16</f>
        <v>0.16</v>
      </c>
      <c r="H40" s="252" t="s">
        <v>53</v>
      </c>
      <c r="I40" s="314" t="s">
        <v>141</v>
      </c>
      <c r="J40" s="260">
        <v>2652</v>
      </c>
      <c r="L40" s="120"/>
      <c r="M40" s="120"/>
    </row>
    <row r="41" spans="1:13" ht="64">
      <c r="A41" s="252"/>
      <c r="B41" s="252"/>
      <c r="C41" s="302" t="s">
        <v>144</v>
      </c>
      <c r="D41" s="253">
        <f t="shared" si="1"/>
        <v>3.2894736842105261E-2</v>
      </c>
      <c r="E41" s="252"/>
      <c r="F41" s="259"/>
      <c r="G41" s="346">
        <v>1</v>
      </c>
      <c r="H41" s="252" t="s">
        <v>53</v>
      </c>
      <c r="I41" s="314" t="s">
        <v>145</v>
      </c>
      <c r="J41" s="260">
        <v>1286</v>
      </c>
      <c r="L41" s="120"/>
      <c r="M41" s="120"/>
    </row>
    <row r="42" spans="1:13" ht="48">
      <c r="A42" s="252"/>
      <c r="B42" s="252"/>
      <c r="C42" s="302" t="s">
        <v>119</v>
      </c>
      <c r="D42" s="253">
        <f t="shared" si="1"/>
        <v>0.419078947368421</v>
      </c>
      <c r="E42" s="252"/>
      <c r="F42" s="259"/>
      <c r="G42" s="346">
        <f>30.4-G37-G39-G40-G38-G41</f>
        <v>12.739999999999998</v>
      </c>
      <c r="H42" s="252" t="s">
        <v>53</v>
      </c>
      <c r="I42" s="315" t="s">
        <v>136</v>
      </c>
      <c r="J42" s="261">
        <v>1205</v>
      </c>
      <c r="L42" s="120"/>
      <c r="M42" s="120"/>
    </row>
    <row r="43" spans="1:13">
      <c r="A43" s="252"/>
      <c r="B43" s="257" t="s">
        <v>56</v>
      </c>
      <c r="C43" s="302"/>
      <c r="D43" s="253"/>
      <c r="E43" s="252"/>
      <c r="F43" s="259"/>
      <c r="G43" s="346"/>
      <c r="H43" s="252"/>
      <c r="I43" s="302"/>
      <c r="J43" s="252"/>
      <c r="L43" s="120"/>
      <c r="M43" s="120"/>
    </row>
    <row r="44" spans="1:13" ht="32">
      <c r="A44" s="252"/>
      <c r="B44" s="257"/>
      <c r="C44" s="302" t="s">
        <v>57</v>
      </c>
      <c r="D44" s="253">
        <f>0.2*SUM(D37:D42)</f>
        <v>0.2</v>
      </c>
      <c r="E44" s="252"/>
      <c r="F44" s="259"/>
      <c r="G44" s="346"/>
      <c r="H44" s="252" t="s">
        <v>58</v>
      </c>
      <c r="I44" s="305" t="s">
        <v>107</v>
      </c>
      <c r="J44" s="262">
        <v>13687</v>
      </c>
      <c r="L44" s="120"/>
      <c r="M44" s="120"/>
    </row>
    <row r="45" spans="1:13" s="88" customFormat="1" ht="48">
      <c r="A45" s="252"/>
      <c r="B45" s="252"/>
      <c r="C45" s="302" t="s">
        <v>59</v>
      </c>
      <c r="D45" s="253">
        <f>0.1*SUM(D37:D42)</f>
        <v>0.1</v>
      </c>
      <c r="E45" s="252"/>
      <c r="F45" s="259"/>
      <c r="G45" s="346"/>
      <c r="H45" s="252" t="s">
        <v>58</v>
      </c>
      <c r="I45" s="302" t="s">
        <v>108</v>
      </c>
      <c r="J45" s="263">
        <v>2809</v>
      </c>
      <c r="K45" s="128"/>
    </row>
    <row r="46" spans="1:13" s="88" customFormat="1">
      <c r="A46" s="252"/>
      <c r="B46" s="252"/>
      <c r="C46" s="302"/>
      <c r="D46" s="253"/>
      <c r="E46" s="252"/>
      <c r="F46" s="259"/>
      <c r="G46" s="346"/>
      <c r="H46" s="252"/>
      <c r="I46" s="302"/>
      <c r="J46" s="263"/>
      <c r="K46" s="128"/>
    </row>
    <row r="47" spans="1:13" s="88" customFormat="1">
      <c r="A47" s="170">
        <f>Foreground!A11</f>
        <v>8</v>
      </c>
      <c r="B47" s="170" t="str">
        <f>Foreground!B11</f>
        <v>Module packaging</v>
      </c>
      <c r="C47" s="316"/>
      <c r="D47" s="171"/>
      <c r="E47" s="172"/>
      <c r="F47" s="173"/>
      <c r="G47" s="349">
        <f>G50</f>
        <v>57.000000000000007</v>
      </c>
      <c r="H47" s="165"/>
      <c r="I47" s="316"/>
      <c r="J47" s="174"/>
      <c r="K47" s="128"/>
    </row>
    <row r="48" spans="1:13" s="88" customFormat="1">
      <c r="A48" s="44"/>
      <c r="B48" s="44"/>
      <c r="C48" s="301"/>
      <c r="D48" s="114"/>
      <c r="E48" s="115"/>
      <c r="F48" s="156"/>
      <c r="G48" s="158"/>
      <c r="H48" s="44"/>
      <c r="I48" s="301"/>
      <c r="J48" s="44"/>
      <c r="K48" s="128"/>
    </row>
    <row r="49" spans="1:20" s="88" customFormat="1">
      <c r="A49" s="44"/>
      <c r="B49" s="48" t="s">
        <v>55</v>
      </c>
      <c r="C49" s="301"/>
      <c r="D49" s="114"/>
      <c r="E49" s="115"/>
      <c r="F49" s="156"/>
      <c r="G49" s="158"/>
      <c r="H49" s="44"/>
      <c r="I49" s="317"/>
      <c r="J49" s="44"/>
    </row>
    <row r="50" spans="1:20" s="88" customFormat="1" ht="16">
      <c r="A50" s="44"/>
      <c r="B50" s="44"/>
      <c r="C50" s="301" t="str">
        <f>B47</f>
        <v>Module packaging</v>
      </c>
      <c r="D50" s="114"/>
      <c r="E50" s="283">
        <f>SUM(D52:D58)</f>
        <v>1</v>
      </c>
      <c r="F50" s="158"/>
      <c r="G50" s="158">
        <f>SUM(G52:G58)</f>
        <v>57.000000000000007</v>
      </c>
      <c r="H50" s="44" t="s">
        <v>53</v>
      </c>
      <c r="I50" s="301"/>
      <c r="J50" s="44"/>
    </row>
    <row r="51" spans="1:20">
      <c r="B51" s="118" t="s">
        <v>54</v>
      </c>
      <c r="C51" s="301"/>
      <c r="D51" s="114"/>
      <c r="E51" s="117"/>
      <c r="F51" s="158"/>
      <c r="G51" s="158"/>
      <c r="I51" s="301"/>
      <c r="K51" s="44"/>
    </row>
    <row r="52" spans="1:20" s="78" customFormat="1" ht="32">
      <c r="A52" s="44"/>
      <c r="B52" s="118"/>
      <c r="C52" s="301" t="s">
        <v>126</v>
      </c>
      <c r="D52" s="114">
        <f>G52/$G$50</f>
        <v>0.16438947368421047</v>
      </c>
      <c r="E52" s="117"/>
      <c r="F52" s="158"/>
      <c r="G52" s="158">
        <f>0.446+29*0.292+0.296+0.007+60*0.0025+2*0.0016</f>
        <v>9.3701999999999988</v>
      </c>
      <c r="H52" s="44" t="s">
        <v>53</v>
      </c>
      <c r="I52" s="318" t="s">
        <v>137</v>
      </c>
      <c r="J52" s="245">
        <v>2647</v>
      </c>
    </row>
    <row r="53" spans="1:20" s="133" customFormat="1" ht="32">
      <c r="A53" s="44"/>
      <c r="B53" s="44"/>
      <c r="C53" s="301" t="s">
        <v>127</v>
      </c>
      <c r="D53" s="114">
        <f t="shared" ref="D53:D57" si="2">G53/$G$50</f>
        <v>9.7017543859649127E-3</v>
      </c>
      <c r="E53" s="115"/>
      <c r="F53" s="158"/>
      <c r="G53" s="158">
        <f>0.276+0.277</f>
        <v>0.55300000000000005</v>
      </c>
      <c r="H53" s="44" t="s">
        <v>53</v>
      </c>
      <c r="I53" s="318" t="s">
        <v>138</v>
      </c>
      <c r="J53" s="120">
        <v>2649</v>
      </c>
      <c r="K53" s="160"/>
    </row>
    <row r="54" spans="1:20" ht="32">
      <c r="C54" s="301" t="s">
        <v>121</v>
      </c>
      <c r="D54" s="114">
        <f t="shared" si="2"/>
        <v>2.2145515303409996E-2</v>
      </c>
      <c r="E54" s="115"/>
      <c r="F54" s="158"/>
      <c r="G54" s="158">
        <v>1.26229437229437</v>
      </c>
      <c r="H54" s="44" t="s">
        <v>53</v>
      </c>
      <c r="I54" s="301" t="s">
        <v>132</v>
      </c>
      <c r="J54" s="44">
        <v>1799</v>
      </c>
    </row>
    <row r="55" spans="1:20" ht="32">
      <c r="C55" s="301" t="s">
        <v>151</v>
      </c>
      <c r="D55" s="114">
        <f t="shared" si="2"/>
        <v>0.19760613655350526</v>
      </c>
      <c r="E55" s="115"/>
      <c r="F55" s="158"/>
      <c r="G55" s="158">
        <f>11.2635497835498</f>
        <v>11.2635497835498</v>
      </c>
      <c r="H55" s="44" t="s">
        <v>53</v>
      </c>
      <c r="I55" s="306" t="s">
        <v>131</v>
      </c>
      <c r="J55" s="245">
        <v>1914</v>
      </c>
    </row>
    <row r="56" spans="1:20" s="102" customFormat="1" ht="32">
      <c r="A56" s="44"/>
      <c r="B56" s="44"/>
      <c r="C56" s="301" t="s">
        <v>123</v>
      </c>
      <c r="D56" s="114">
        <f t="shared" si="2"/>
        <v>0.4160819138755979</v>
      </c>
      <c r="E56" s="115"/>
      <c r="F56" s="158"/>
      <c r="G56" s="158">
        <f>(57-G52-G53-G54-G55-G58-28*'5_Battery_cell'!G6)*0.7</f>
        <v>23.716669090909082</v>
      </c>
      <c r="H56" s="44" t="s">
        <v>53</v>
      </c>
      <c r="I56" s="319" t="s">
        <v>139</v>
      </c>
      <c r="J56" s="44">
        <v>3389</v>
      </c>
      <c r="K56" s="128"/>
      <c r="L56" s="44"/>
      <c r="M56" s="44"/>
      <c r="N56" s="44"/>
      <c r="O56" s="44"/>
      <c r="P56" s="44"/>
      <c r="Q56" s="44"/>
      <c r="R56" s="44"/>
      <c r="S56" s="44"/>
      <c r="T56" s="44"/>
    </row>
    <row r="57" spans="1:20" s="102" customFormat="1" ht="16">
      <c r="A57" s="44"/>
      <c r="B57" s="44"/>
      <c r="C57" s="301" t="s">
        <v>124</v>
      </c>
      <c r="D57" s="114">
        <f t="shared" si="2"/>
        <v>0.17832082023239912</v>
      </c>
      <c r="E57" s="115"/>
      <c r="F57" s="158"/>
      <c r="G57" s="158">
        <f>(57-G52-G53-G54-G55-G58-28*'5_Battery_cell'!G6)*0.3</f>
        <v>10.164286753246751</v>
      </c>
      <c r="H57" s="44" t="s">
        <v>53</v>
      </c>
      <c r="I57" s="319" t="s">
        <v>140</v>
      </c>
      <c r="J57" s="44">
        <v>706</v>
      </c>
      <c r="K57" s="128"/>
      <c r="L57" s="44"/>
      <c r="M57" s="44"/>
      <c r="N57" s="44"/>
      <c r="O57" s="44"/>
      <c r="P57" s="44"/>
      <c r="Q57" s="44"/>
      <c r="R57" s="44"/>
      <c r="S57" s="44"/>
      <c r="T57" s="44"/>
    </row>
    <row r="58" spans="1:20" s="102" customFormat="1" ht="64">
      <c r="A58" s="44"/>
      <c r="B58" s="44"/>
      <c r="C58" s="301" t="s">
        <v>144</v>
      </c>
      <c r="D58" s="114">
        <f>G58/$G$50</f>
        <v>1.1754385964912279E-2</v>
      </c>
      <c r="E58" s="115"/>
      <c r="F58" s="158"/>
      <c r="G58" s="158">
        <v>0.67</v>
      </c>
      <c r="H58" s="44" t="s">
        <v>53</v>
      </c>
      <c r="I58" s="319" t="s">
        <v>145</v>
      </c>
      <c r="J58" s="44">
        <v>1286</v>
      </c>
      <c r="K58" s="128"/>
      <c r="L58" s="44"/>
      <c r="M58" s="44"/>
      <c r="N58" s="44"/>
      <c r="O58" s="44"/>
      <c r="P58" s="44"/>
      <c r="Q58" s="44"/>
      <c r="R58" s="44"/>
      <c r="S58" s="44"/>
      <c r="T58" s="44"/>
    </row>
    <row r="59" spans="1:20" s="102" customFormat="1">
      <c r="A59" s="88"/>
      <c r="B59" s="52" t="s">
        <v>56</v>
      </c>
      <c r="C59" s="300"/>
      <c r="D59" s="127"/>
      <c r="E59" s="126"/>
      <c r="F59" s="159"/>
      <c r="G59" s="350"/>
      <c r="H59" s="88"/>
      <c r="I59" s="300"/>
      <c r="J59" s="96"/>
      <c r="K59" s="128"/>
      <c r="L59" s="44"/>
      <c r="M59" s="44"/>
      <c r="N59" s="44"/>
      <c r="O59" s="44"/>
      <c r="P59" s="44"/>
      <c r="Q59" s="44"/>
      <c r="R59" s="44"/>
      <c r="S59" s="44"/>
      <c r="T59" s="44"/>
    </row>
    <row r="60" spans="1:20" s="102" customFormat="1" ht="32">
      <c r="A60" s="128"/>
      <c r="B60" s="52"/>
      <c r="C60" s="301" t="s">
        <v>57</v>
      </c>
      <c r="D60" s="127">
        <f>0.2*(D52+D53+D54+D55+D58)+0.6*(D56+D57)</f>
        <v>0.43776109364319882</v>
      </c>
      <c r="E60" s="126"/>
      <c r="F60" s="159"/>
      <c r="G60" s="350"/>
      <c r="H60" s="88" t="s">
        <v>58</v>
      </c>
      <c r="I60" s="300" t="s">
        <v>107</v>
      </c>
      <c r="J60" s="121">
        <v>13687</v>
      </c>
      <c r="K60" s="128"/>
      <c r="L60" s="44"/>
      <c r="M60" s="44"/>
      <c r="N60" s="44"/>
      <c r="O60" s="44"/>
      <c r="P60" s="44"/>
      <c r="Q60" s="44"/>
      <c r="R60" s="44"/>
      <c r="S60" s="44"/>
      <c r="T60" s="44"/>
    </row>
    <row r="61" spans="1:20" s="102" customFormat="1" ht="48">
      <c r="A61" s="128"/>
      <c r="B61" s="88"/>
      <c r="C61" s="301" t="s">
        <v>59</v>
      </c>
      <c r="D61" s="127">
        <f>0.1*(D52+D53+D54+D55+D56+D57+D58)</f>
        <v>0.1</v>
      </c>
      <c r="E61" s="126"/>
      <c r="F61" s="159"/>
      <c r="G61" s="350"/>
      <c r="H61" s="88" t="s">
        <v>58</v>
      </c>
      <c r="I61" s="301" t="s">
        <v>108</v>
      </c>
      <c r="J61" s="119">
        <v>2809</v>
      </c>
      <c r="K61" s="128"/>
      <c r="L61" s="44"/>
      <c r="M61" s="44"/>
      <c r="N61" s="44"/>
      <c r="O61" s="44"/>
      <c r="P61" s="44"/>
      <c r="Q61" s="44"/>
      <c r="R61" s="44"/>
      <c r="S61" s="44"/>
      <c r="T61" s="44"/>
    </row>
    <row r="62" spans="1:20" s="102" customFormat="1">
      <c r="A62" s="88"/>
      <c r="B62" s="134" t="s">
        <v>52</v>
      </c>
      <c r="C62" s="301"/>
      <c r="D62" s="127"/>
      <c r="E62" s="126"/>
      <c r="F62" s="159"/>
      <c r="G62" s="350"/>
      <c r="H62" s="88"/>
      <c r="I62" s="301"/>
      <c r="J62" s="248"/>
      <c r="K62" s="128"/>
      <c r="L62" s="44"/>
      <c r="M62" s="44"/>
      <c r="N62" s="44"/>
      <c r="O62" s="44"/>
      <c r="P62" s="44"/>
      <c r="Q62" s="44"/>
      <c r="R62" s="44"/>
      <c r="S62" s="44"/>
      <c r="T62" s="44"/>
    </row>
    <row r="63" spans="1:20" s="102" customFormat="1" ht="32">
      <c r="A63" s="88"/>
      <c r="B63" s="134"/>
      <c r="C63" s="301" t="s">
        <v>149</v>
      </c>
      <c r="D63" s="127">
        <f>(3.50370746229632+1.41818181818182+0.727272727272727)/G50</f>
        <v>9.9108105399137988E-2</v>
      </c>
      <c r="E63" s="126"/>
      <c r="F63" s="159"/>
      <c r="G63" s="350"/>
      <c r="H63" s="88" t="s">
        <v>62</v>
      </c>
      <c r="I63" s="301" t="s">
        <v>74</v>
      </c>
      <c r="J63" s="249">
        <v>1159</v>
      </c>
      <c r="K63" s="128"/>
      <c r="L63" s="44"/>
      <c r="M63" s="44"/>
      <c r="N63" s="44"/>
      <c r="O63" s="44"/>
      <c r="P63" s="44"/>
      <c r="Q63" s="44"/>
      <c r="R63" s="44"/>
      <c r="S63" s="44"/>
      <c r="T63" s="44"/>
    </row>
    <row r="64" spans="1:20" s="102" customFormat="1">
      <c r="A64" s="44"/>
      <c r="B64" s="48" t="s">
        <v>51</v>
      </c>
      <c r="C64" s="301"/>
      <c r="D64" s="114"/>
      <c r="E64" s="115"/>
      <c r="F64" s="44"/>
      <c r="G64" s="351"/>
      <c r="H64" s="44"/>
      <c r="I64" s="301"/>
      <c r="J64" s="250"/>
      <c r="K64" s="128"/>
      <c r="L64" s="44"/>
      <c r="M64" s="44"/>
      <c r="N64" s="44"/>
      <c r="O64" s="44"/>
      <c r="P64" s="44"/>
      <c r="Q64" s="44"/>
      <c r="R64" s="44"/>
      <c r="S64" s="44"/>
      <c r="T64" s="44"/>
    </row>
    <row r="65" spans="1:10" ht="32">
      <c r="A65" s="78"/>
      <c r="B65" s="52"/>
      <c r="C65" s="299" t="s">
        <v>128</v>
      </c>
      <c r="D65" s="266">
        <v>0</v>
      </c>
      <c r="E65" s="132"/>
      <c r="F65" s="78"/>
      <c r="G65" s="352"/>
      <c r="H65" s="78" t="s">
        <v>50</v>
      </c>
      <c r="I65" s="310" t="s">
        <v>129</v>
      </c>
      <c r="J65" s="245">
        <v>3724</v>
      </c>
    </row>
    <row r="66" spans="1:10" ht="32">
      <c r="A66" s="125"/>
      <c r="B66" s="133"/>
      <c r="C66" s="320" t="s">
        <v>150</v>
      </c>
      <c r="D66" s="114">
        <f>G66/G50</f>
        <v>5.1990407902157364E-4</v>
      </c>
      <c r="E66" s="296"/>
      <c r="F66" s="297"/>
      <c r="G66" s="158">
        <v>2.9634532504229701E-2</v>
      </c>
      <c r="H66" s="295" t="s">
        <v>53</v>
      </c>
      <c r="I66" s="320" t="s">
        <v>152</v>
      </c>
      <c r="J66" s="295">
        <v>7852</v>
      </c>
    </row>
    <row r="69" spans="1:10">
      <c r="A69" s="102"/>
      <c r="B69" s="102"/>
      <c r="C69" s="102"/>
      <c r="D69" s="103"/>
      <c r="E69" s="102"/>
      <c r="F69" s="102"/>
      <c r="G69" s="103"/>
      <c r="H69" s="102"/>
      <c r="I69" s="102"/>
      <c r="J69" s="102"/>
    </row>
    <row r="70" spans="1:10">
      <c r="A70" s="102"/>
      <c r="B70" s="102"/>
      <c r="C70" s="102"/>
      <c r="D70" s="103"/>
      <c r="E70" s="102"/>
      <c r="F70" s="102"/>
      <c r="G70" s="103"/>
      <c r="H70" s="102"/>
      <c r="I70" s="102"/>
      <c r="J70" s="102"/>
    </row>
    <row r="71" spans="1:10">
      <c r="A71" s="102"/>
      <c r="B71" s="102"/>
      <c r="C71" s="102"/>
      <c r="D71" s="103"/>
      <c r="E71" s="102"/>
      <c r="F71" s="102"/>
      <c r="G71" s="103"/>
      <c r="H71" s="102"/>
      <c r="I71" s="102"/>
      <c r="J71" s="102"/>
    </row>
    <row r="72" spans="1:10">
      <c r="A72" s="102"/>
      <c r="B72" s="102"/>
      <c r="C72" s="102"/>
      <c r="D72" s="103"/>
      <c r="E72" s="102"/>
      <c r="F72" s="102"/>
      <c r="G72" s="103"/>
      <c r="H72" s="102"/>
      <c r="I72" s="102"/>
      <c r="J72" s="102"/>
    </row>
    <row r="73" spans="1:10">
      <c r="A73" s="102"/>
      <c r="B73" s="102"/>
      <c r="C73" s="102"/>
      <c r="D73" s="103"/>
      <c r="E73" s="102"/>
      <c r="F73" s="102"/>
      <c r="G73" s="103"/>
      <c r="H73" s="102"/>
      <c r="I73" s="102"/>
      <c r="J73" s="102"/>
    </row>
    <row r="74" spans="1:10">
      <c r="A74" s="102"/>
      <c r="B74" s="102"/>
      <c r="C74" s="102"/>
      <c r="D74" s="103"/>
      <c r="E74" s="102"/>
      <c r="F74" s="102"/>
      <c r="G74" s="103"/>
      <c r="H74" s="102"/>
      <c r="I74" s="102"/>
      <c r="J74" s="102"/>
    </row>
    <row r="75" spans="1:10">
      <c r="A75" s="102"/>
      <c r="B75" s="102"/>
      <c r="C75" s="102"/>
      <c r="D75" s="103"/>
      <c r="E75" s="102"/>
      <c r="F75" s="102"/>
      <c r="G75" s="103"/>
      <c r="H75" s="102"/>
      <c r="I75" s="102"/>
      <c r="J75" s="102"/>
    </row>
    <row r="76" spans="1:10">
      <c r="A76" s="102"/>
      <c r="B76" s="102"/>
      <c r="C76" s="102"/>
      <c r="D76" s="103"/>
      <c r="E76" s="102"/>
      <c r="F76" s="102"/>
      <c r="G76" s="103"/>
      <c r="H76" s="102"/>
      <c r="I76" s="102"/>
      <c r="J76" s="102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7C80"/>
  </sheetPr>
  <dimension ref="A1:AO25"/>
  <sheetViews>
    <sheetView zoomScale="80" zoomScaleNormal="80" workbookViewId="0">
      <pane ySplit="1" topLeftCell="A2" activePane="bottomLeft" state="frozen"/>
      <selection pane="bottomLeft" activeCell="I15" sqref="I15"/>
    </sheetView>
  </sheetViews>
  <sheetFormatPr baseColWidth="10" defaultColWidth="11.5" defaultRowHeight="15"/>
  <cols>
    <col min="1" max="1" width="3.1640625" customWidth="1"/>
    <col min="2" max="2" width="9.1640625" customWidth="1"/>
    <col min="3" max="3" width="20.6640625" customWidth="1"/>
    <col min="4" max="4" width="7.5" style="90" bestFit="1" customWidth="1"/>
    <col min="5" max="5" width="7.6640625" bestFit="1" customWidth="1"/>
    <col min="6" max="6" width="9.83203125" bestFit="1" customWidth="1"/>
    <col min="7" max="7" width="9.5" style="28" bestFit="1" customWidth="1"/>
    <col min="8" max="8" width="4.33203125" bestFit="1" customWidth="1"/>
    <col min="9" max="9" width="40.6640625" customWidth="1"/>
    <col min="10" max="10" width="9.1640625" customWidth="1"/>
    <col min="11" max="11" width="7.6640625" customWidth="1"/>
    <col min="12" max="13" width="9.1640625" customWidth="1"/>
    <col min="14" max="15" width="9.1640625" style="88" customWidth="1"/>
    <col min="16" max="41" width="11.5" style="88"/>
  </cols>
  <sheetData>
    <row r="1" spans="1:41" s="42" customFormat="1" ht="28">
      <c r="A1" s="38"/>
      <c r="B1" s="38"/>
      <c r="C1" s="38" t="s">
        <v>39</v>
      </c>
      <c r="D1" s="97" t="s">
        <v>41</v>
      </c>
      <c r="E1" s="39" t="s">
        <v>42</v>
      </c>
      <c r="F1" s="39" t="s">
        <v>43</v>
      </c>
      <c r="G1" s="40" t="s">
        <v>75</v>
      </c>
      <c r="H1" s="38" t="s">
        <v>33</v>
      </c>
      <c r="I1" s="38" t="s">
        <v>46</v>
      </c>
      <c r="J1" s="41" t="s">
        <v>101</v>
      </c>
      <c r="K1" s="41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84"/>
      <c r="AM1" s="184"/>
      <c r="AN1" s="184"/>
      <c r="AO1" s="184"/>
    </row>
    <row r="2" spans="1:41">
      <c r="F2" s="20"/>
      <c r="G2" s="37"/>
    </row>
    <row r="3" spans="1:41" s="21" customFormat="1">
      <c r="A3" s="21">
        <f>Foreground!A6</f>
        <v>3</v>
      </c>
      <c r="B3" s="21" t="str">
        <f>Foreground!B6</f>
        <v>Control system</v>
      </c>
      <c r="D3" s="94"/>
      <c r="G3" s="344">
        <f>G6</f>
        <v>253.5500000000001</v>
      </c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</row>
    <row r="4" spans="1:41" s="23" customFormat="1">
      <c r="D4" s="95"/>
      <c r="F4" s="32"/>
      <c r="G4" s="345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</row>
    <row r="5" spans="1:41" s="23" customFormat="1">
      <c r="B5" s="30" t="s">
        <v>55</v>
      </c>
      <c r="D5" s="95"/>
      <c r="F5" s="32"/>
      <c r="G5" s="345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</row>
    <row r="6" spans="1:41" s="23" customFormat="1">
      <c r="C6" s="23" t="str">
        <f>B3</f>
        <v>Control system</v>
      </c>
      <c r="D6" s="98"/>
      <c r="E6" s="292">
        <f>SUM(D8:D15)</f>
        <v>0.99999999999999989</v>
      </c>
      <c r="F6" s="32"/>
      <c r="G6" s="345">
        <f>SUM(G8:G15)</f>
        <v>253.5500000000001</v>
      </c>
      <c r="H6" s="23" t="s">
        <v>53</v>
      </c>
      <c r="I6" s="293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</row>
    <row r="7" spans="1:41" s="102" customFormat="1">
      <c r="A7" s="252"/>
      <c r="B7" s="257" t="s">
        <v>54</v>
      </c>
      <c r="C7" s="252"/>
      <c r="D7" s="253"/>
      <c r="E7" s="252"/>
      <c r="F7" s="254"/>
      <c r="G7" s="346"/>
      <c r="H7" s="252"/>
      <c r="I7" s="252"/>
      <c r="J7" s="252"/>
      <c r="K7" s="252"/>
      <c r="L7" s="252"/>
      <c r="M7" s="252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</row>
    <row r="8" spans="1:41" ht="48">
      <c r="A8" s="252"/>
      <c r="B8" s="252"/>
      <c r="C8" s="302" t="s">
        <v>156</v>
      </c>
      <c r="D8" s="95">
        <f>G8/$G$6</f>
        <v>0.57187216424845233</v>
      </c>
      <c r="E8" s="33"/>
      <c r="F8" s="34"/>
      <c r="G8" s="345">
        <f>(65.2946691176471/1.01)+2*12.35*0.5+68</f>
        <v>144.99818724519514</v>
      </c>
      <c r="H8" s="23" t="s">
        <v>53</v>
      </c>
      <c r="I8" s="303" t="s">
        <v>131</v>
      </c>
      <c r="J8" s="23">
        <v>1914</v>
      </c>
      <c r="K8" s="252"/>
      <c r="L8" s="252"/>
      <c r="M8" s="252"/>
      <c r="P8" s="339"/>
    </row>
    <row r="9" spans="1:41" ht="32">
      <c r="A9" s="252"/>
      <c r="B9" s="252"/>
      <c r="C9" s="302" t="s">
        <v>153</v>
      </c>
      <c r="D9" s="95">
        <f>G9/$G$6</f>
        <v>2.5497214452847848E-3</v>
      </c>
      <c r="E9" s="33"/>
      <c r="F9" s="34"/>
      <c r="G9" s="345">
        <f>(65.2946691176471-(65.2946691176471/1.01))</f>
        <v>0.64648187245195743</v>
      </c>
      <c r="H9" s="23" t="s">
        <v>53</v>
      </c>
      <c r="I9" s="303" t="s">
        <v>143</v>
      </c>
      <c r="J9" s="23">
        <v>8027</v>
      </c>
      <c r="K9" s="252"/>
      <c r="L9" s="252"/>
      <c r="M9" s="252"/>
      <c r="P9" s="339"/>
    </row>
    <row r="10" spans="1:41" ht="16">
      <c r="A10" s="252"/>
      <c r="B10" s="252"/>
      <c r="C10" s="302" t="s">
        <v>60</v>
      </c>
      <c r="D10" s="95">
        <f t="shared" ref="D10:D14" si="0">G10/$G$6</f>
        <v>0.33473862331365201</v>
      </c>
      <c r="E10" s="23"/>
      <c r="F10" s="34"/>
      <c r="G10" s="345">
        <v>84.872977941176501</v>
      </c>
      <c r="H10" s="23" t="s">
        <v>53</v>
      </c>
      <c r="I10" s="304" t="s">
        <v>132</v>
      </c>
      <c r="J10" s="36">
        <v>1799</v>
      </c>
      <c r="K10" s="252"/>
      <c r="L10" s="252"/>
      <c r="M10" s="252"/>
      <c r="P10" s="339"/>
    </row>
    <row r="11" spans="1:41" ht="16">
      <c r="A11" s="252"/>
      <c r="B11" s="252"/>
      <c r="C11" s="302" t="s">
        <v>125</v>
      </c>
      <c r="D11" s="95">
        <f t="shared" si="0"/>
        <v>1.3930858282970061E-2</v>
      </c>
      <c r="E11" s="23"/>
      <c r="F11" s="34"/>
      <c r="G11" s="345">
        <v>3.5321691176470602</v>
      </c>
      <c r="H11" s="23" t="s">
        <v>53</v>
      </c>
      <c r="I11" s="304" t="s">
        <v>134</v>
      </c>
      <c r="J11" s="36">
        <v>1358</v>
      </c>
      <c r="K11" s="252"/>
      <c r="L11" s="252"/>
      <c r="M11" s="252"/>
      <c r="P11" s="339"/>
    </row>
    <row r="12" spans="1:41" ht="48">
      <c r="A12" s="252"/>
      <c r="B12" s="252"/>
      <c r="C12" s="302" t="s">
        <v>122</v>
      </c>
      <c r="D12" s="95">
        <f t="shared" si="0"/>
        <v>3.9802452237057369E-2</v>
      </c>
      <c r="E12" s="23"/>
      <c r="F12" s="34"/>
      <c r="G12" s="345">
        <v>10.0919117647059</v>
      </c>
      <c r="H12" s="23" t="s">
        <v>53</v>
      </c>
      <c r="I12" s="304" t="s">
        <v>136</v>
      </c>
      <c r="J12" s="36">
        <v>1205</v>
      </c>
      <c r="K12" s="252"/>
      <c r="L12" s="252"/>
      <c r="M12" s="252"/>
      <c r="P12" s="338"/>
    </row>
    <row r="13" spans="1:41" ht="16">
      <c r="A13" s="252"/>
      <c r="B13" s="252"/>
      <c r="C13" s="302" t="s">
        <v>120</v>
      </c>
      <c r="D13" s="95">
        <f t="shared" si="0"/>
        <v>3.5822207013351554E-3</v>
      </c>
      <c r="E13" s="23"/>
      <c r="F13" s="34"/>
      <c r="G13" s="345">
        <v>0.90827205882352902</v>
      </c>
      <c r="H13" s="23" t="s">
        <v>53</v>
      </c>
      <c r="I13" s="304" t="s">
        <v>141</v>
      </c>
      <c r="J13" s="36">
        <v>2652</v>
      </c>
      <c r="K13" s="252"/>
      <c r="L13" s="252"/>
      <c r="M13" s="252"/>
    </row>
    <row r="14" spans="1:41" ht="32">
      <c r="A14" s="252"/>
      <c r="B14" s="252"/>
      <c r="C14" s="302" t="s">
        <v>119</v>
      </c>
      <c r="D14" s="95">
        <f t="shared" si="0"/>
        <v>1.3803983435219873E-2</v>
      </c>
      <c r="E14" s="23"/>
      <c r="F14" s="34"/>
      <c r="G14" s="345">
        <v>3.5</v>
      </c>
      <c r="H14" s="23" t="s">
        <v>53</v>
      </c>
      <c r="I14" s="303" t="s">
        <v>142</v>
      </c>
      <c r="J14" s="23">
        <v>891</v>
      </c>
      <c r="K14" s="252"/>
      <c r="L14" s="252"/>
      <c r="M14" s="252"/>
    </row>
    <row r="15" spans="1:41" ht="16">
      <c r="A15" s="252"/>
      <c r="B15" s="252"/>
      <c r="C15" s="302" t="s">
        <v>146</v>
      </c>
      <c r="D15" s="95">
        <f>G15/$G$6</f>
        <v>1.9719976336028389E-2</v>
      </c>
      <c r="E15" s="23"/>
      <c r="F15" s="34"/>
      <c r="G15" s="345">
        <v>5</v>
      </c>
      <c r="H15" s="23" t="s">
        <v>53</v>
      </c>
      <c r="I15" s="303" t="s">
        <v>138</v>
      </c>
      <c r="J15" s="23">
        <v>2649</v>
      </c>
      <c r="K15" s="252"/>
      <c r="L15" s="252"/>
      <c r="M15" s="252"/>
    </row>
    <row r="16" spans="1:41">
      <c r="A16" s="252"/>
      <c r="B16" s="257" t="s">
        <v>56</v>
      </c>
      <c r="C16" s="302"/>
      <c r="D16" s="253"/>
      <c r="E16" s="252"/>
      <c r="F16" s="259"/>
      <c r="G16" s="346"/>
      <c r="H16" s="252"/>
      <c r="I16" s="302"/>
      <c r="J16" s="252"/>
      <c r="K16" s="252"/>
      <c r="L16" s="252"/>
      <c r="M16" s="252"/>
    </row>
    <row r="17" spans="1:13" ht="48">
      <c r="A17" s="252"/>
      <c r="B17" s="257"/>
      <c r="C17" s="302" t="s">
        <v>57</v>
      </c>
      <c r="D17" s="253">
        <f>0.2*SUM(D8:D15)</f>
        <v>0.19999999999999998</v>
      </c>
      <c r="E17" s="252"/>
      <c r="F17" s="259"/>
      <c r="G17" s="346"/>
      <c r="H17" s="252" t="s">
        <v>58</v>
      </c>
      <c r="I17" s="305" t="s">
        <v>107</v>
      </c>
      <c r="J17" s="262">
        <v>13687</v>
      </c>
      <c r="K17" s="252"/>
      <c r="L17" s="252"/>
      <c r="M17" s="252"/>
    </row>
    <row r="18" spans="1:13" ht="48">
      <c r="A18" s="252"/>
      <c r="B18" s="252"/>
      <c r="C18" s="302" t="s">
        <v>59</v>
      </c>
      <c r="D18" s="253">
        <f>0.1*SUM(D8:D15)</f>
        <v>9.9999999999999992E-2</v>
      </c>
      <c r="E18" s="252"/>
      <c r="F18" s="259"/>
      <c r="G18" s="346"/>
      <c r="H18" s="252" t="s">
        <v>58</v>
      </c>
      <c r="I18" s="302" t="s">
        <v>108</v>
      </c>
      <c r="J18" s="263">
        <v>2809</v>
      </c>
      <c r="K18" s="252"/>
      <c r="L18" s="252"/>
      <c r="M18" s="252"/>
    </row>
    <row r="19" spans="1:13">
      <c r="A19" s="264"/>
      <c r="B19" s="252"/>
      <c r="C19" s="252"/>
      <c r="D19" s="253"/>
      <c r="E19" s="252"/>
      <c r="F19" s="259"/>
      <c r="G19" s="255"/>
      <c r="H19" s="252"/>
      <c r="I19" s="252"/>
      <c r="J19" s="252"/>
      <c r="K19" s="252"/>
      <c r="L19" s="252"/>
      <c r="M19" s="252"/>
    </row>
    <row r="20" spans="1:13">
      <c r="A20" s="252"/>
      <c r="B20" s="252"/>
      <c r="C20" s="252"/>
      <c r="D20" s="253"/>
      <c r="E20" s="252"/>
      <c r="F20" s="259"/>
      <c r="G20" s="255"/>
      <c r="H20" s="252"/>
      <c r="I20" s="252"/>
      <c r="J20" s="252"/>
      <c r="K20" s="252"/>
      <c r="L20" s="252"/>
      <c r="M20" s="252"/>
    </row>
    <row r="21" spans="1:13">
      <c r="A21" s="102"/>
      <c r="B21" s="102"/>
      <c r="C21" s="102"/>
      <c r="D21" s="103"/>
      <c r="E21" s="102"/>
      <c r="F21" s="102"/>
      <c r="G21" s="113"/>
      <c r="H21" s="102"/>
      <c r="I21" s="102"/>
      <c r="J21" s="102"/>
      <c r="K21" s="102"/>
      <c r="L21" s="102"/>
      <c r="M21" s="102"/>
    </row>
    <row r="22" spans="1:13">
      <c r="A22" s="102"/>
      <c r="B22" s="102"/>
      <c r="C22" s="102"/>
      <c r="D22" s="103"/>
      <c r="E22" s="102"/>
      <c r="F22" s="102"/>
      <c r="G22" s="113"/>
      <c r="H22" s="102"/>
      <c r="I22" s="102"/>
      <c r="J22" s="102"/>
      <c r="K22" s="102"/>
      <c r="L22" s="102"/>
      <c r="M22" s="102"/>
    </row>
    <row r="23" spans="1:13">
      <c r="A23" s="102"/>
      <c r="B23" s="102"/>
      <c r="C23" s="102"/>
      <c r="D23" s="103"/>
      <c r="E23" s="102"/>
      <c r="F23" s="102"/>
      <c r="G23" s="113"/>
      <c r="H23" s="102"/>
      <c r="I23" s="102"/>
      <c r="J23" s="102"/>
      <c r="K23" s="102"/>
      <c r="L23" s="102"/>
      <c r="M23" s="102"/>
    </row>
    <row r="24" spans="1:13">
      <c r="A24" s="102"/>
      <c r="B24" s="102"/>
      <c r="C24" s="102"/>
      <c r="D24" s="103"/>
      <c r="E24" s="102"/>
      <c r="F24" s="102"/>
      <c r="G24" s="113"/>
      <c r="H24" s="102"/>
      <c r="I24" s="102"/>
      <c r="J24" s="102"/>
      <c r="K24" s="102"/>
      <c r="L24" s="102"/>
      <c r="M24" s="102"/>
    </row>
    <row r="25" spans="1:13">
      <c r="A25" s="102"/>
      <c r="B25" s="102"/>
      <c r="C25" s="102"/>
      <c r="D25" s="103"/>
      <c r="E25" s="102"/>
      <c r="F25" s="102"/>
      <c r="G25" s="113"/>
      <c r="H25" s="102"/>
      <c r="I25" s="102"/>
      <c r="J25" s="102"/>
      <c r="K25" s="102"/>
      <c r="L25" s="102"/>
      <c r="M25" s="102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</sheetPr>
  <dimension ref="A1:V22"/>
  <sheetViews>
    <sheetView zoomScale="120" zoomScaleNormal="120" workbookViewId="0">
      <selection activeCell="G4" sqref="G4:G9"/>
    </sheetView>
  </sheetViews>
  <sheetFormatPr baseColWidth="10" defaultColWidth="11.5" defaultRowHeight="15"/>
  <cols>
    <col min="1" max="1" width="3.1640625" style="49" customWidth="1"/>
    <col min="2" max="2" width="4.1640625" style="49" customWidth="1"/>
    <col min="3" max="3" width="20.83203125" style="49" customWidth="1"/>
    <col min="4" max="4" width="6.33203125" style="56" bestFit="1" customWidth="1"/>
    <col min="5" max="6" width="7.33203125" style="71" bestFit="1" customWidth="1"/>
    <col min="7" max="7" width="10.1640625" style="71" bestFit="1" customWidth="1"/>
    <col min="8" max="8" width="4.33203125" style="49" bestFit="1" customWidth="1"/>
    <col min="9" max="9" width="1.5" style="49" hidden="1" customWidth="1"/>
    <col min="10" max="10" width="40.83203125" style="49" customWidth="1"/>
    <col min="11" max="11" width="9.33203125" style="49" customWidth="1"/>
    <col min="12" max="12" width="7.6640625" style="49" customWidth="1"/>
    <col min="13" max="13" width="64" style="49" customWidth="1"/>
    <col min="14" max="16384" width="11.5" style="49"/>
  </cols>
  <sheetData>
    <row r="1" spans="1:22" s="55" customFormat="1" ht="15" customHeight="1">
      <c r="A1" s="45"/>
      <c r="B1" s="45"/>
      <c r="C1" s="45" t="s">
        <v>39</v>
      </c>
      <c r="D1" s="99" t="s">
        <v>41</v>
      </c>
      <c r="E1" s="70" t="s">
        <v>42</v>
      </c>
      <c r="F1" s="73" t="s">
        <v>85</v>
      </c>
      <c r="G1" s="70" t="s">
        <v>86</v>
      </c>
      <c r="H1" s="45" t="s">
        <v>33</v>
      </c>
      <c r="I1" s="54" t="s">
        <v>45</v>
      </c>
      <c r="J1" s="45" t="s">
        <v>46</v>
      </c>
      <c r="K1" s="46" t="s">
        <v>101</v>
      </c>
      <c r="L1" s="46"/>
      <c r="M1" s="47"/>
      <c r="N1" s="45"/>
    </row>
    <row r="2" spans="1:22">
      <c r="I2" s="57"/>
      <c r="M2" s="58"/>
    </row>
    <row r="3" spans="1:22" s="105" customFormat="1">
      <c r="A3" s="105">
        <f>Foreground!A7</f>
        <v>4</v>
      </c>
      <c r="B3" s="105" t="str">
        <f>Foreground!B7</f>
        <v>Cooling system</v>
      </c>
      <c r="D3" s="107"/>
      <c r="E3" s="108"/>
      <c r="F3" s="108">
        <f>G6</f>
        <v>234.75</v>
      </c>
      <c r="G3" s="108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G4" s="342"/>
      <c r="I4" s="57"/>
      <c r="M4" s="58"/>
    </row>
    <row r="5" spans="1:22">
      <c r="B5" s="48" t="s">
        <v>55</v>
      </c>
      <c r="G5" s="342"/>
      <c r="I5" s="57"/>
      <c r="M5" s="58"/>
    </row>
    <row r="6" spans="1:22">
      <c r="B6" s="49">
        <f>A3</f>
        <v>4</v>
      </c>
      <c r="C6" s="49" t="str">
        <f>B3</f>
        <v>Cooling system</v>
      </c>
      <c r="E6" s="74">
        <f>SUM(D8:D8)</f>
        <v>1</v>
      </c>
      <c r="G6" s="342">
        <f>SUM(G8:G8)*1</f>
        <v>234.75</v>
      </c>
      <c r="H6" s="49" t="s">
        <v>53</v>
      </c>
      <c r="I6" s="57"/>
      <c r="M6" s="58"/>
    </row>
    <row r="7" spans="1:22">
      <c r="B7" s="60" t="s">
        <v>54</v>
      </c>
      <c r="G7" s="342"/>
      <c r="I7" s="57"/>
      <c r="M7" s="58"/>
    </row>
    <row r="8" spans="1:22" ht="32">
      <c r="C8" s="298" t="s">
        <v>148</v>
      </c>
      <c r="D8" s="56">
        <f t="shared" ref="D8" si="0">G8/$G$6</f>
        <v>1</v>
      </c>
      <c r="G8" s="342">
        <f>133+0.5*3.75*2*((32+4)/4)+68</f>
        <v>234.75</v>
      </c>
      <c r="H8" s="49" t="s">
        <v>53</v>
      </c>
      <c r="J8" s="298" t="s">
        <v>131</v>
      </c>
      <c r="K8" s="49">
        <v>1914</v>
      </c>
    </row>
    <row r="9" spans="1:22" s="62" customFormat="1">
      <c r="B9" s="52" t="s">
        <v>56</v>
      </c>
      <c r="D9" s="100"/>
      <c r="E9" s="75"/>
      <c r="F9" s="75"/>
      <c r="G9" s="343"/>
      <c r="I9" s="63"/>
      <c r="J9" s="299"/>
      <c r="K9" s="64"/>
      <c r="L9" s="64"/>
    </row>
    <row r="10" spans="1:22" s="62" customFormat="1" ht="32">
      <c r="A10" s="65"/>
      <c r="B10" s="52"/>
      <c r="C10" s="298" t="s">
        <v>57</v>
      </c>
      <c r="D10" s="100">
        <f>0.2*D8</f>
        <v>0.2</v>
      </c>
      <c r="E10" s="75"/>
      <c r="F10" s="75"/>
      <c r="G10" s="75"/>
      <c r="H10" s="62" t="s">
        <v>58</v>
      </c>
      <c r="I10" s="63"/>
      <c r="J10" s="300" t="s">
        <v>107</v>
      </c>
      <c r="K10" s="89">
        <v>13687</v>
      </c>
      <c r="L10" s="89"/>
    </row>
    <row r="11" spans="1:22" s="62" customFormat="1" ht="48">
      <c r="A11" s="65"/>
      <c r="C11" s="298" t="s">
        <v>59</v>
      </c>
      <c r="D11" s="100">
        <f>0.1*D8</f>
        <v>0.1</v>
      </c>
      <c r="E11" s="75"/>
      <c r="F11" s="75"/>
      <c r="G11" s="75"/>
      <c r="H11" s="62" t="s">
        <v>58</v>
      </c>
      <c r="I11" s="63"/>
      <c r="J11" s="301" t="s">
        <v>108</v>
      </c>
      <c r="K11" s="115">
        <v>2809</v>
      </c>
      <c r="L11" s="115"/>
    </row>
    <row r="12" spans="1:22" s="62" customFormat="1">
      <c r="A12" s="67"/>
      <c r="C12" s="49"/>
      <c r="D12" s="100"/>
      <c r="E12" s="75"/>
      <c r="F12" s="75"/>
      <c r="G12" s="75"/>
      <c r="I12" s="63"/>
      <c r="J12" s="49"/>
      <c r="K12" s="66"/>
      <c r="L12" s="66"/>
    </row>
    <row r="15" spans="1:22" s="109" customFormat="1">
      <c r="D15" s="110"/>
      <c r="E15" s="111"/>
      <c r="F15" s="111"/>
      <c r="G15" s="111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</row>
    <row r="16" spans="1:22" s="109" customFormat="1">
      <c r="D16" s="110"/>
      <c r="E16" s="111"/>
      <c r="F16" s="111"/>
      <c r="G16" s="111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</row>
    <row r="17" spans="4:22" s="109" customFormat="1">
      <c r="D17" s="110"/>
      <c r="E17" s="111"/>
      <c r="F17" s="111"/>
      <c r="G17" s="111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</row>
    <row r="18" spans="4:22" s="109" customFormat="1">
      <c r="D18" s="110"/>
      <c r="E18" s="111"/>
      <c r="F18" s="111"/>
      <c r="G18" s="111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</row>
    <row r="19" spans="4:22" s="109" customFormat="1">
      <c r="D19" s="110"/>
      <c r="E19" s="111"/>
      <c r="F19" s="111"/>
      <c r="G19" s="111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</row>
    <row r="20" spans="4:22" s="109" customFormat="1">
      <c r="D20" s="110"/>
      <c r="E20" s="111"/>
      <c r="F20" s="111"/>
      <c r="G20" s="111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</row>
    <row r="21" spans="4:22" s="109" customFormat="1">
      <c r="D21" s="110"/>
      <c r="E21" s="111"/>
      <c r="F21" s="111"/>
      <c r="G21" s="111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</row>
    <row r="22" spans="4:22" s="109" customFormat="1">
      <c r="D22" s="110"/>
      <c r="E22" s="111"/>
      <c r="F22" s="111"/>
      <c r="G22" s="111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7030A0"/>
  </sheetPr>
  <dimension ref="A1:BD30"/>
  <sheetViews>
    <sheetView tabSelected="1" zoomScale="88" zoomScaleNormal="100" workbookViewId="0">
      <pane ySplit="1" topLeftCell="A2" activePane="bottomLeft" state="frozen"/>
      <selection pane="bottomLeft" activeCell="H22" sqref="H22"/>
    </sheetView>
  </sheetViews>
  <sheetFormatPr baseColWidth="10" defaultColWidth="11.5" defaultRowHeight="15"/>
  <cols>
    <col min="1" max="1" width="4.1640625" customWidth="1"/>
    <col min="2" max="2" width="7.1640625" customWidth="1"/>
    <col min="3" max="3" width="20.83203125" customWidth="1"/>
    <col min="4" max="4" width="7.83203125" style="90" bestFit="1" customWidth="1"/>
    <col min="5" max="5" width="7.5" bestFit="1" customWidth="1"/>
    <col min="6" max="6" width="12.1640625" style="195" bestFit="1" customWidth="1"/>
    <col min="7" max="7" width="9.83203125" style="195" bestFit="1" customWidth="1"/>
    <col min="8" max="8" width="14.33203125" bestFit="1" customWidth="1"/>
    <col min="9" max="9" width="40.83203125" customWidth="1"/>
    <col min="10" max="10" width="9.1640625" bestFit="1" customWidth="1"/>
    <col min="11" max="11" width="9.5" style="156" customWidth="1"/>
    <col min="12" max="12" width="11.5" style="44" customWidth="1"/>
    <col min="13" max="56" width="11.5" style="44"/>
  </cols>
  <sheetData>
    <row r="1" spans="1:56">
      <c r="A1" s="146"/>
      <c r="B1" s="147"/>
      <c r="C1" s="147" t="s">
        <v>39</v>
      </c>
      <c r="D1" s="148" t="s">
        <v>41</v>
      </c>
      <c r="E1" s="149" t="s">
        <v>42</v>
      </c>
      <c r="F1" s="223" t="s">
        <v>86</v>
      </c>
      <c r="G1" s="191" t="s">
        <v>43</v>
      </c>
      <c r="H1" s="147" t="s">
        <v>44</v>
      </c>
      <c r="I1" s="147" t="s">
        <v>46</v>
      </c>
      <c r="J1" s="150" t="s">
        <v>101</v>
      </c>
      <c r="K1" s="211"/>
    </row>
    <row r="2" spans="1:56" s="22" customFormat="1">
      <c r="A2" s="136"/>
      <c r="B2" s="124"/>
      <c r="C2" s="124"/>
      <c r="D2" s="137"/>
      <c r="E2" s="124"/>
      <c r="F2" s="192"/>
      <c r="G2" s="192"/>
      <c r="H2" s="124"/>
      <c r="I2" s="124"/>
      <c r="J2" s="124"/>
      <c r="K2" s="156"/>
      <c r="L2" s="44"/>
      <c r="M2" s="44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</row>
    <row r="3" spans="1:56" s="130" customFormat="1">
      <c r="A3" s="145">
        <f>[5]Foreground!A8</f>
        <v>5</v>
      </c>
      <c r="B3" s="130" t="str">
        <f>[5]Foreground!B8</f>
        <v>Battery cell</v>
      </c>
      <c r="D3" s="224"/>
      <c r="F3" s="225"/>
      <c r="G3" s="226"/>
      <c r="K3" s="212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</row>
    <row r="4" spans="1:56" s="44" customFormat="1">
      <c r="A4" s="128"/>
      <c r="D4" s="120"/>
      <c r="E4" s="118"/>
      <c r="F4" s="83"/>
      <c r="G4" s="227"/>
      <c r="I4" s="301"/>
      <c r="K4" s="156"/>
    </row>
    <row r="5" spans="1:56" s="44" customFormat="1">
      <c r="A5" s="128"/>
      <c r="B5" s="48" t="s">
        <v>55</v>
      </c>
      <c r="D5" s="120"/>
      <c r="F5" s="228"/>
      <c r="G5" s="227"/>
      <c r="H5" s="131"/>
      <c r="I5" s="301"/>
      <c r="K5" s="156"/>
      <c r="M5" s="120"/>
      <c r="S5" s="197"/>
    </row>
    <row r="6" spans="1:56" s="44" customFormat="1" ht="16">
      <c r="A6" s="128"/>
      <c r="B6" s="44">
        <f>A3</f>
        <v>5</v>
      </c>
      <c r="C6" s="301" t="str">
        <f>B3</f>
        <v>Battery cell</v>
      </c>
      <c r="D6" s="120">
        <f>SUM(D8:D12)</f>
        <v>0</v>
      </c>
      <c r="F6" s="228"/>
      <c r="G6" s="229"/>
      <c r="H6" s="44" t="s">
        <v>53</v>
      </c>
      <c r="I6" s="301"/>
      <c r="K6" s="156"/>
      <c r="M6" s="120"/>
      <c r="N6"/>
      <c r="S6" s="197"/>
    </row>
    <row r="7" spans="1:56" s="44" customFormat="1">
      <c r="A7" s="128"/>
      <c r="B7" s="118" t="s">
        <v>54</v>
      </c>
      <c r="C7" s="301"/>
      <c r="D7" s="114"/>
      <c r="E7" s="117"/>
      <c r="F7" s="228"/>
      <c r="G7" s="228"/>
      <c r="I7" s="301"/>
      <c r="K7" s="156"/>
      <c r="M7" s="120"/>
    </row>
    <row r="8" spans="1:56" s="44" customFormat="1" ht="16">
      <c r="A8" s="128"/>
      <c r="B8" s="230">
        <f>[5]Foreground!A12</f>
        <v>9</v>
      </c>
      <c r="C8" s="331" t="str">
        <f>[5]Foreground!B12</f>
        <v>Electrolyte</v>
      </c>
      <c r="D8" s="231"/>
      <c r="E8" s="116"/>
      <c r="F8" s="229"/>
      <c r="G8" s="229"/>
      <c r="H8" s="44" t="s">
        <v>53</v>
      </c>
      <c r="I8" s="321"/>
      <c r="J8" s="232"/>
      <c r="K8" s="213"/>
      <c r="N8" s="197"/>
    </row>
    <row r="9" spans="1:56" s="44" customFormat="1" ht="16">
      <c r="A9" s="128"/>
      <c r="B9" s="230">
        <f>[5]Foreground!A13</f>
        <v>10</v>
      </c>
      <c r="C9" s="332" t="str">
        <f>[5]Foreground!B13</f>
        <v>Cathode</v>
      </c>
      <c r="D9" s="231"/>
      <c r="E9" s="233"/>
      <c r="F9" s="229"/>
      <c r="G9" s="229"/>
      <c r="H9" s="44" t="s">
        <v>53</v>
      </c>
      <c r="I9" s="329"/>
      <c r="J9" s="232"/>
      <c r="K9" s="213"/>
      <c r="N9" s="197"/>
    </row>
    <row r="10" spans="1:56" s="44" customFormat="1" ht="16">
      <c r="A10" s="128"/>
      <c r="B10" s="230">
        <f>[5]Foreground!A14</f>
        <v>11</v>
      </c>
      <c r="C10" s="332" t="str">
        <f>[5]Foreground!B14</f>
        <v>Anode</v>
      </c>
      <c r="D10" s="231"/>
      <c r="E10" s="233"/>
      <c r="F10" s="229"/>
      <c r="G10" s="229"/>
      <c r="H10" s="44" t="s">
        <v>53</v>
      </c>
      <c r="I10" s="301"/>
      <c r="J10" s="232"/>
      <c r="K10" s="213"/>
      <c r="N10" s="138"/>
      <c r="O10" s="88"/>
    </row>
    <row r="11" spans="1:56" s="44" customFormat="1" ht="16">
      <c r="A11" s="128"/>
      <c r="B11" s="230">
        <f>[5]Foreground!A15</f>
        <v>12</v>
      </c>
      <c r="C11" s="332" t="str">
        <f>[5]Foreground!B15</f>
        <v>Cell container</v>
      </c>
      <c r="D11" s="231"/>
      <c r="E11" s="233"/>
      <c r="F11" s="229"/>
      <c r="G11" s="229"/>
      <c r="H11" s="44" t="s">
        <v>53</v>
      </c>
      <c r="I11" s="309"/>
      <c r="K11" s="156"/>
      <c r="N11" s="138"/>
      <c r="O11" s="88"/>
    </row>
    <row r="12" spans="1:56" s="44" customFormat="1" ht="16">
      <c r="A12" s="128"/>
      <c r="B12" s="230">
        <f>[5]Foreground!A16</f>
        <v>13</v>
      </c>
      <c r="C12" s="332" t="str">
        <f>[5]Foreground!B16</f>
        <v>Separator</v>
      </c>
      <c r="D12" s="231"/>
      <c r="E12" s="233"/>
      <c r="F12" s="229"/>
      <c r="G12" s="229"/>
      <c r="H12" s="44" t="s">
        <v>53</v>
      </c>
      <c r="I12" s="301"/>
      <c r="K12" s="156"/>
      <c r="N12" s="138"/>
      <c r="O12" s="88"/>
    </row>
    <row r="13" spans="1:56" s="44" customFormat="1">
      <c r="A13" s="128"/>
      <c r="C13" s="301"/>
      <c r="D13" s="120"/>
      <c r="E13" s="233"/>
      <c r="F13" s="228"/>
      <c r="G13" s="229"/>
      <c r="I13" s="301"/>
      <c r="J13" s="44">
        <v>3389</v>
      </c>
      <c r="K13" s="156"/>
      <c r="N13" s="138"/>
      <c r="O13" s="88"/>
    </row>
    <row r="14" spans="1:56" s="44" customFormat="1">
      <c r="A14" s="128"/>
      <c r="B14" s="48" t="s">
        <v>52</v>
      </c>
      <c r="C14" s="301"/>
      <c r="D14" s="234"/>
      <c r="E14" s="123"/>
      <c r="F14" s="228"/>
      <c r="G14" s="235"/>
      <c r="I14" s="301"/>
      <c r="J14" s="236"/>
      <c r="K14" s="214"/>
      <c r="N14" s="138"/>
      <c r="O14" s="88"/>
    </row>
    <row r="15" spans="1:56" s="44" customFormat="1" ht="16">
      <c r="A15" s="128"/>
      <c r="B15" s="48"/>
      <c r="C15" s="301" t="s">
        <v>98</v>
      </c>
      <c r="D15" s="353"/>
      <c r="E15" s="237"/>
      <c r="F15" s="227"/>
      <c r="G15" s="238"/>
      <c r="H15" s="44" t="s">
        <v>62</v>
      </c>
      <c r="I15" s="301" t="s">
        <v>97</v>
      </c>
      <c r="K15" s="156"/>
      <c r="N15" s="138"/>
      <c r="O15" s="88"/>
    </row>
    <row r="16" spans="1:56" s="44" customFormat="1">
      <c r="A16" s="128"/>
      <c r="B16" s="48" t="s">
        <v>51</v>
      </c>
      <c r="C16" s="301"/>
      <c r="D16" s="114"/>
      <c r="E16" s="115"/>
      <c r="F16" s="228"/>
      <c r="G16" s="228"/>
      <c r="I16" s="301"/>
      <c r="K16" s="156"/>
    </row>
    <row r="17" spans="1:13" s="78" customFormat="1" ht="32">
      <c r="A17" s="139"/>
      <c r="B17" s="48"/>
      <c r="C17" s="298" t="s">
        <v>100</v>
      </c>
      <c r="D17" s="267"/>
      <c r="E17" s="240"/>
      <c r="F17" s="241"/>
      <c r="G17" s="238"/>
      <c r="H17" s="239" t="s">
        <v>50</v>
      </c>
      <c r="I17" s="301" t="s">
        <v>113</v>
      </c>
      <c r="J17" s="115">
        <v>13229</v>
      </c>
      <c r="K17" s="157"/>
      <c r="L17" s="239"/>
      <c r="M17" s="239"/>
    </row>
    <row r="18" spans="1:13" s="50" customFormat="1">
      <c r="A18" s="129"/>
      <c r="B18" s="60" t="s">
        <v>56</v>
      </c>
      <c r="C18" s="306"/>
      <c r="D18" s="242"/>
      <c r="E18" s="243"/>
      <c r="F18" s="244"/>
      <c r="G18" s="244"/>
      <c r="I18" s="306"/>
      <c r="J18" s="199"/>
      <c r="K18" s="215"/>
    </row>
    <row r="19" spans="1:13" s="50" customFormat="1" ht="32">
      <c r="A19" s="129"/>
      <c r="B19" s="60"/>
      <c r="C19" s="306" t="s">
        <v>57</v>
      </c>
      <c r="D19" s="242"/>
      <c r="E19" s="243"/>
      <c r="F19" s="244"/>
      <c r="G19" s="244"/>
      <c r="H19" s="50" t="s">
        <v>58</v>
      </c>
      <c r="I19" s="301" t="s">
        <v>107</v>
      </c>
      <c r="J19" s="119">
        <v>13687</v>
      </c>
      <c r="K19" s="161"/>
    </row>
    <row r="20" spans="1:13" s="50" customFormat="1" ht="48">
      <c r="A20" s="129"/>
      <c r="C20" s="306" t="s">
        <v>59</v>
      </c>
      <c r="D20" s="242"/>
      <c r="E20" s="243"/>
      <c r="F20" s="244"/>
      <c r="G20" s="244"/>
      <c r="H20" s="50" t="s">
        <v>58</v>
      </c>
      <c r="I20" s="301" t="s">
        <v>108</v>
      </c>
      <c r="J20" s="119">
        <v>2809</v>
      </c>
      <c r="K20" s="161"/>
    </row>
    <row r="21" spans="1:13" s="133" customFormat="1">
      <c r="A21" s="135"/>
      <c r="B21" s="140"/>
      <c r="C21" s="330"/>
      <c r="D21" s="141"/>
      <c r="E21" s="142"/>
      <c r="F21" s="193"/>
      <c r="G21" s="194"/>
      <c r="H21" s="140"/>
      <c r="I21" s="330"/>
      <c r="J21" s="140"/>
      <c r="K21" s="217"/>
    </row>
    <row r="27" spans="1:13">
      <c r="K27" s="216"/>
    </row>
    <row r="28" spans="1:13">
      <c r="K28" s="216"/>
    </row>
    <row r="29" spans="1:13">
      <c r="K29" s="161"/>
    </row>
    <row r="30" spans="1:13">
      <c r="K30" s="21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7</vt:i4>
      </vt:variant>
    </vt:vector>
  </HeadingPairs>
  <TitlesOfParts>
    <vt:vector size="7" baseType="lpstr">
      <vt:lpstr>LOG</vt:lpstr>
      <vt:lpstr>Foreground</vt:lpstr>
      <vt:lpstr>1_Battery_pack</vt:lpstr>
      <vt:lpstr>2_Battery_packaging</vt:lpstr>
      <vt:lpstr>3_Control system</vt:lpstr>
      <vt:lpstr>4_Cooling_system</vt:lpstr>
      <vt:lpstr>5_Battery_cell</vt:lpstr>
    </vt:vector>
  </TitlesOfParts>
  <Company>NTNU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majeaube</dc:creator>
  <cp:lastModifiedBy>Julie Sandnes Galaaen</cp:lastModifiedBy>
  <cp:lastPrinted>2012-04-15T11:30:20Z</cp:lastPrinted>
  <dcterms:created xsi:type="dcterms:W3CDTF">2010-11-13T10:08:23Z</dcterms:created>
  <dcterms:modified xsi:type="dcterms:W3CDTF">2020-06-18T18:58:12Z</dcterms:modified>
</cp:coreProperties>
</file>