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0"/>
  <workbookPr/>
  <mc:AlternateContent xmlns:mc="http://schemas.openxmlformats.org/markup-compatibility/2006">
    <mc:Choice Requires="x15">
      <x15ac:absPath xmlns:x15ac="http://schemas.microsoft.com/office/spreadsheetml/2010/11/ac" url="/Users/julie/Documents/Energi og Miljø/Masteroppgave/Attachment Master Thesis Julie Sandnes Galaaen/"/>
    </mc:Choice>
  </mc:AlternateContent>
  <xr:revisionPtr revIDLastSave="0" documentId="13_ncr:1_{2C1A8865-BA64-E041-B691-944E6B2101F4}" xr6:coauthVersionLast="45" xr6:coauthVersionMax="45" xr10:uidLastSave="{00000000-0000-0000-0000-000000000000}"/>
  <bookViews>
    <workbookView xWindow="25620" yWindow="460" windowWidth="38380" windowHeight="20220" activeTab="4" xr2:uid="{BF3F7471-7065-6C44-839C-9EB5C3581940}"/>
  </bookViews>
  <sheets>
    <sheet name="Lifetime calculations" sheetId="1" r:id="rId1"/>
    <sheet name="Electricity" sheetId="9" r:id="rId2"/>
    <sheet name="Efficiencies and losses" sheetId="6" r:id="rId3"/>
    <sheet name="Components" sheetId="7" r:id="rId4"/>
    <sheet name="Functional units" sheetId="10" r:id="rId5"/>
  </sheets>
  <externalReferences>
    <externalReference r:id="rId6"/>
    <externalReference r:id="rId7"/>
    <externalReference r:id="rId8"/>
    <externalReference r:id="rId9"/>
  </externalReferences>
  <definedNames>
    <definedName name="avogadro">[1]Materials!$B$72</definedName>
    <definedName name="D_LiOHH2O">[2]Materials!$E$43</definedName>
    <definedName name="D_NCMOH2">[2]Materials!$E$44</definedName>
    <definedName name="D_oil">[1]Materials!$E$67</definedName>
    <definedName name="element">[1]Materials!$B$71</definedName>
    <definedName name="furnace_efficiency">[2]Parameters!$D$57</definedName>
    <definedName name="kg2t">[3]Parameters!$D$54</definedName>
    <definedName name="km_per_mile">#REF!</definedName>
    <definedName name="km_per_MJ">[3]Parameters!$D$39</definedName>
    <definedName name="kwh_2_mj">[2]Parameters!$D$49</definedName>
    <definedName name="M_CaO2H2">[2]Materials!$C$41</definedName>
    <definedName name="M_Co">[2]Materials!$C$6</definedName>
    <definedName name="M_CoSO4">[2]Materials!$C$34</definedName>
    <definedName name="M_H">[2]Materials!$C$12</definedName>
    <definedName name="M_H2O">[2]Materials!$C$23</definedName>
    <definedName name="M_H2SO4">[2]Materials!$C$32</definedName>
    <definedName name="M_Li2CO3">[2]Materials!$C$29</definedName>
    <definedName name="M_LiFePO4">[1]Materials!$C$56</definedName>
    <definedName name="M_LiOH">[2]Materials!$C$42</definedName>
    <definedName name="M_LiOHH2O">[2]Materials!$C$43</definedName>
    <definedName name="M_LNCMO2">[2]Materials!$C$25</definedName>
    <definedName name="M_Mn">[2]Materials!$C$5</definedName>
    <definedName name="M_MnSO4">[2]Materials!$C$35</definedName>
    <definedName name="M_Na">[2]Materials!$C$11</definedName>
    <definedName name="M_Ni">[2]Materials!$C$7</definedName>
    <definedName name="M_NiSO4">[2]Materials!$C$33</definedName>
    <definedName name="M_O">[2]Materials!$C$9</definedName>
    <definedName name="M_S">[2]Materials!$C$10</definedName>
    <definedName name="MJ_per_kg_oil">#REF!</definedName>
    <definedName name="naut2km">[3]Parameters!$D$45</definedName>
    <definedName name="T_F">[4]Parameters!$D$47</definedName>
    <definedName name="T_L">[2]Parameters!$D$48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1" i="6" l="1"/>
  <c r="C62" i="6"/>
  <c r="C63" i="6"/>
  <c r="C60" i="6"/>
  <c r="C11" i="10" l="1"/>
  <c r="C10" i="10" l="1"/>
  <c r="C8" i="10"/>
  <c r="H46" i="9" l="1"/>
  <c r="H47" i="9"/>
  <c r="H48" i="9"/>
  <c r="H49" i="9"/>
  <c r="H50" i="9"/>
  <c r="H51" i="9"/>
  <c r="H52" i="9"/>
  <c r="H53" i="9"/>
  <c r="H54" i="9"/>
  <c r="H55" i="9"/>
  <c r="H56" i="9"/>
  <c r="H57" i="9"/>
  <c r="H58" i="9"/>
  <c r="H45" i="9"/>
  <c r="D53" i="9" l="1"/>
  <c r="D45" i="9"/>
  <c r="D46" i="9"/>
  <c r="D47" i="9"/>
  <c r="D49" i="9"/>
  <c r="D50" i="9"/>
  <c r="D51" i="9"/>
  <c r="D52" i="9"/>
  <c r="D54" i="9"/>
  <c r="D48" i="9"/>
  <c r="G41" i="9" l="1"/>
  <c r="H40" i="9"/>
  <c r="H39" i="9"/>
  <c r="H38" i="9"/>
  <c r="H37" i="9"/>
  <c r="H36" i="9"/>
  <c r="H35" i="9"/>
  <c r="H34" i="9"/>
  <c r="H33" i="9"/>
  <c r="H32" i="9"/>
  <c r="H31" i="9"/>
  <c r="H30" i="9"/>
  <c r="H29" i="9"/>
  <c r="H28" i="9"/>
  <c r="H41" i="9" s="1"/>
  <c r="D29" i="9"/>
  <c r="C41" i="9"/>
  <c r="D40" i="9"/>
  <c r="D39" i="9"/>
  <c r="D38" i="9"/>
  <c r="D37" i="9"/>
  <c r="D36" i="9"/>
  <c r="D35" i="9"/>
  <c r="D34" i="9"/>
  <c r="D33" i="9"/>
  <c r="D32" i="9"/>
  <c r="D31" i="9"/>
  <c r="D30" i="9"/>
  <c r="D28" i="9"/>
  <c r="D41" i="9" s="1"/>
  <c r="L19" i="6" l="1"/>
  <c r="J28" i="6"/>
  <c r="J27" i="6"/>
  <c r="J26" i="6"/>
  <c r="L38" i="6" l="1"/>
  <c r="L37" i="6"/>
  <c r="J53" i="6"/>
  <c r="J52" i="6"/>
  <c r="J51" i="6" s="1"/>
  <c r="J50" i="6" s="1"/>
  <c r="J49" i="6" s="1"/>
  <c r="J48" i="6" s="1"/>
  <c r="J47" i="6" s="1"/>
  <c r="J46" i="6" s="1"/>
  <c r="J54" i="6"/>
  <c r="J32" i="6"/>
  <c r="J31" i="6" s="1"/>
  <c r="J35" i="6"/>
  <c r="J34" i="6" s="1"/>
  <c r="J33" i="6" s="1"/>
  <c r="L20" i="6"/>
  <c r="H54" i="6"/>
  <c r="H35" i="6"/>
  <c r="C71" i="6"/>
  <c r="C70" i="6" s="1"/>
  <c r="C69" i="6" s="1"/>
  <c r="C68" i="6" s="1"/>
  <c r="C67" i="6" s="1"/>
  <c r="C66" i="6" s="1"/>
  <c r="J30" i="6" l="1"/>
  <c r="J29" i="6" s="1"/>
  <c r="AJ34" i="7"/>
  <c r="AB68" i="7"/>
  <c r="L45" i="7"/>
  <c r="H47" i="7"/>
  <c r="H18" i="7"/>
  <c r="L5" i="9" l="1"/>
  <c r="L18" i="9"/>
  <c r="K18" i="9"/>
  <c r="J18" i="9"/>
  <c r="I18" i="9"/>
  <c r="I5" i="9"/>
  <c r="C21" i="9"/>
  <c r="E5" i="9"/>
  <c r="F5" i="9"/>
  <c r="F18" i="9"/>
  <c r="E18" i="9"/>
  <c r="E17" i="9"/>
  <c r="D18" i="9"/>
  <c r="D5" i="9"/>
  <c r="J19" i="1"/>
  <c r="L19" i="1" s="1"/>
  <c r="K19" i="1" s="1"/>
  <c r="E18" i="1"/>
  <c r="F18" i="1"/>
  <c r="D18" i="1"/>
  <c r="F6" i="1"/>
  <c r="I9" i="6"/>
  <c r="I11" i="6"/>
  <c r="H7" i="6" l="1"/>
  <c r="H6" i="6"/>
  <c r="C33" i="6" s="1"/>
  <c r="H10" i="6"/>
  <c r="H8" i="6"/>
  <c r="C8" i="6"/>
  <c r="H5" i="6"/>
  <c r="I5" i="6" s="1"/>
  <c r="C16" i="6"/>
  <c r="C15" i="6"/>
  <c r="C26" i="6" s="1"/>
  <c r="C10" i="6"/>
  <c r="C7" i="6"/>
  <c r="C14" i="6"/>
  <c r="C32" i="6" l="1"/>
  <c r="C31" i="6" s="1"/>
  <c r="C30" i="6" s="1"/>
  <c r="C29" i="6" s="1"/>
  <c r="C42" i="6"/>
  <c r="C41" i="6" s="1"/>
  <c r="C48" i="6"/>
  <c r="H53" i="6"/>
  <c r="C25" i="6"/>
  <c r="D15" i="1"/>
  <c r="D11" i="7" l="1"/>
  <c r="AJ33" i="7" l="1"/>
  <c r="AF34" i="7"/>
  <c r="AF33" i="7"/>
  <c r="AF68" i="7"/>
  <c r="AF67" i="7"/>
  <c r="AB67" i="7"/>
  <c r="X68" i="7"/>
  <c r="X67" i="7"/>
  <c r="AB33" i="7"/>
  <c r="AB34" i="7"/>
  <c r="X34" i="7"/>
  <c r="X33" i="7"/>
  <c r="X50" i="7"/>
  <c r="AB50" i="7"/>
  <c r="AB52" i="7" s="1"/>
  <c r="AB54" i="7" s="1"/>
  <c r="AB58" i="7" s="1"/>
  <c r="AF50" i="7"/>
  <c r="X51" i="7"/>
  <c r="AB51" i="7"/>
  <c r="AF51" i="7"/>
  <c r="D13" i="7"/>
  <c r="D8" i="7"/>
  <c r="H50" i="7"/>
  <c r="AB69" i="7" l="1"/>
  <c r="AF52" i="7"/>
  <c r="AF54" i="7" s="1"/>
  <c r="AB62" i="7"/>
  <c r="AB55" i="7"/>
  <c r="AB61" i="7"/>
  <c r="AB57" i="7"/>
  <c r="AB70" i="7"/>
  <c r="AB60" i="7"/>
  <c r="AB56" i="7"/>
  <c r="X52" i="7"/>
  <c r="X54" i="7" s="1"/>
  <c r="X64" i="7" s="1"/>
  <c r="AB59" i="7"/>
  <c r="AB64" i="7"/>
  <c r="AB63" i="7"/>
  <c r="X69" i="7" l="1"/>
  <c r="X63" i="7"/>
  <c r="AF59" i="7"/>
  <c r="AF55" i="7"/>
  <c r="AF70" i="7"/>
  <c r="AF56" i="7"/>
  <c r="AF62" i="7"/>
  <c r="AF60" i="7"/>
  <c r="AF63" i="7"/>
  <c r="AF69" i="7"/>
  <c r="AF57" i="7"/>
  <c r="AF64" i="7"/>
  <c r="AF58" i="7"/>
  <c r="AF61" i="7"/>
  <c r="X60" i="7"/>
  <c r="X56" i="7"/>
  <c r="X58" i="7"/>
  <c r="X55" i="7"/>
  <c r="X70" i="7"/>
  <c r="X59" i="7"/>
  <c r="X61" i="7"/>
  <c r="X57" i="7"/>
  <c r="X62" i="7"/>
  <c r="L6" i="9"/>
  <c r="L7" i="9"/>
  <c r="L8" i="9"/>
  <c r="L9" i="9"/>
  <c r="L10" i="9"/>
  <c r="L11" i="9"/>
  <c r="L12" i="9"/>
  <c r="L13" i="9"/>
  <c r="L14" i="9"/>
  <c r="L15" i="9"/>
  <c r="L16" i="9"/>
  <c r="L17" i="9"/>
  <c r="K6" i="9"/>
  <c r="K7" i="9"/>
  <c r="K8" i="9"/>
  <c r="K9" i="9"/>
  <c r="K10" i="9"/>
  <c r="K11" i="9"/>
  <c r="K12" i="9"/>
  <c r="K13" i="9"/>
  <c r="K14" i="9"/>
  <c r="K15" i="9"/>
  <c r="K16" i="9"/>
  <c r="K17" i="9"/>
  <c r="K5" i="9"/>
  <c r="J6" i="9"/>
  <c r="J7" i="9"/>
  <c r="J8" i="9"/>
  <c r="J9" i="9"/>
  <c r="J10" i="9"/>
  <c r="J11" i="9"/>
  <c r="J12" i="9"/>
  <c r="J13" i="9"/>
  <c r="J14" i="9"/>
  <c r="J15" i="9"/>
  <c r="J16" i="9"/>
  <c r="J17" i="9"/>
  <c r="J5" i="9"/>
  <c r="I6" i="9"/>
  <c r="I7" i="9"/>
  <c r="I8" i="9"/>
  <c r="I9" i="9"/>
  <c r="I10" i="9"/>
  <c r="I11" i="9"/>
  <c r="I12" i="9"/>
  <c r="I13" i="9"/>
  <c r="I14" i="9"/>
  <c r="I15" i="9"/>
  <c r="I16" i="9"/>
  <c r="I17" i="9"/>
  <c r="H18" i="9"/>
  <c r="C18" i="9" l="1"/>
  <c r="D7" i="9" l="1"/>
  <c r="D11" i="9"/>
  <c r="D15" i="9"/>
  <c r="E15" i="9" s="1"/>
  <c r="F15" i="9" s="1"/>
  <c r="C23" i="9"/>
  <c r="D8" i="9"/>
  <c r="D12" i="9"/>
  <c r="E12" i="9" s="1"/>
  <c r="F12" i="9" s="1"/>
  <c r="D16" i="9"/>
  <c r="E16" i="9" s="1"/>
  <c r="F16" i="9" s="1"/>
  <c r="D9" i="9"/>
  <c r="E9" i="9" s="1"/>
  <c r="F9" i="9" s="1"/>
  <c r="D13" i="9"/>
  <c r="D17" i="9"/>
  <c r="D6" i="9"/>
  <c r="E6" i="9" s="1"/>
  <c r="F6" i="9" s="1"/>
  <c r="D10" i="9"/>
  <c r="E10" i="9" s="1"/>
  <c r="F10" i="9" s="1"/>
  <c r="D14" i="9"/>
  <c r="F17" i="9" l="1"/>
  <c r="E11" i="9"/>
  <c r="F11" i="9" s="1"/>
  <c r="E14" i="9"/>
  <c r="F14" i="9" s="1"/>
  <c r="E13" i="9"/>
  <c r="F13" i="9" s="1"/>
  <c r="E8" i="9"/>
  <c r="F8" i="9" s="1"/>
  <c r="E7" i="9"/>
  <c r="F7" i="9" s="1"/>
  <c r="AN8" i="7" l="1"/>
  <c r="AN11" i="7" s="1"/>
  <c r="AN7" i="7"/>
  <c r="AN6" i="7"/>
  <c r="AN10" i="7" s="1"/>
  <c r="AN9" i="7" l="1"/>
  <c r="T6" i="7"/>
  <c r="T7" i="7"/>
  <c r="AJ17" i="7" l="1"/>
  <c r="AJ16" i="7"/>
  <c r="AJ18" i="7" s="1"/>
  <c r="AJ20" i="7" s="1"/>
  <c r="AJ23" i="7" s="1"/>
  <c r="AF17" i="7"/>
  <c r="AF16" i="7"/>
  <c r="AF18" i="7" s="1"/>
  <c r="AF20" i="7" s="1"/>
  <c r="AB17" i="7"/>
  <c r="AB16" i="7"/>
  <c r="X17" i="7"/>
  <c r="X16" i="7"/>
  <c r="X18" i="7" s="1"/>
  <c r="X20" i="7" s="1"/>
  <c r="X24" i="7" s="1"/>
  <c r="AJ21" i="7" l="1"/>
  <c r="AB18" i="7"/>
  <c r="AB20" i="7" s="1"/>
  <c r="AJ28" i="7"/>
  <c r="AB24" i="7"/>
  <c r="AJ25" i="7"/>
  <c r="X22" i="7"/>
  <c r="X29" i="7"/>
  <c r="AB30" i="7"/>
  <c r="X21" i="7"/>
  <c r="X27" i="7"/>
  <c r="AF27" i="7"/>
  <c r="AF36" i="7"/>
  <c r="AF35" i="7"/>
  <c r="AF21" i="7"/>
  <c r="AF24" i="7"/>
  <c r="AF29" i="7"/>
  <c r="AF28" i="7"/>
  <c r="AF23" i="7"/>
  <c r="AF30" i="7"/>
  <c r="AB23" i="7"/>
  <c r="AB36" i="7"/>
  <c r="AB21" i="7"/>
  <c r="AB27" i="7"/>
  <c r="AF26" i="7"/>
  <c r="AF22" i="7"/>
  <c r="AJ24" i="7"/>
  <c r="AJ36" i="7"/>
  <c r="AJ35" i="7"/>
  <c r="AJ27" i="7"/>
  <c r="AJ22" i="7"/>
  <c r="X30" i="7"/>
  <c r="X25" i="7"/>
  <c r="X36" i="7"/>
  <c r="X35" i="7"/>
  <c r="X26" i="7"/>
  <c r="X23" i="7"/>
  <c r="AB22" i="7"/>
  <c r="AB28" i="7"/>
  <c r="AB25" i="7"/>
  <c r="AF25" i="7"/>
  <c r="X28" i="7"/>
  <c r="AJ26" i="7"/>
  <c r="AJ29" i="7"/>
  <c r="AJ30" i="7"/>
  <c r="AB26" i="7" l="1"/>
  <c r="AB29" i="7"/>
  <c r="AB35" i="7"/>
  <c r="L47" i="7"/>
  <c r="P47" i="7"/>
  <c r="P20" i="7"/>
  <c r="P18" i="7"/>
  <c r="P19" i="7"/>
  <c r="P44" i="7" l="1"/>
  <c r="P45" i="7" s="1"/>
  <c r="P21" i="7"/>
  <c r="P23" i="7" s="1"/>
  <c r="P48" i="7" s="1"/>
  <c r="P42" i="7" l="1"/>
  <c r="P34" i="7"/>
  <c r="P28" i="7"/>
  <c r="P31" i="7"/>
  <c r="P30" i="7"/>
  <c r="P25" i="7"/>
  <c r="P29" i="7"/>
  <c r="P24" i="7"/>
  <c r="P41" i="7"/>
  <c r="P26" i="7"/>
  <c r="P35" i="7"/>
  <c r="P27" i="7"/>
  <c r="P32" i="7"/>
  <c r="P33" i="7"/>
  <c r="P40" i="7"/>
  <c r="D48" i="7"/>
  <c r="D49" i="7" s="1"/>
  <c r="D9" i="7"/>
  <c r="L19" i="7"/>
  <c r="L20" i="7"/>
  <c r="L18" i="7"/>
  <c r="H44" i="7"/>
  <c r="H45" i="7" s="1"/>
  <c r="H20" i="7"/>
  <c r="H19" i="7"/>
  <c r="H21" i="7" l="1"/>
  <c r="H23" i="7" s="1"/>
  <c r="L21" i="7"/>
  <c r="L23" i="7" s="1"/>
  <c r="H41" i="7"/>
  <c r="H35" i="7"/>
  <c r="H31" i="7"/>
  <c r="H28" i="7"/>
  <c r="H42" i="7"/>
  <c r="H30" i="7"/>
  <c r="H26" i="7"/>
  <c r="H25" i="7"/>
  <c r="P36" i="7"/>
  <c r="L33" i="7" l="1"/>
  <c r="L24" i="7"/>
  <c r="L40" i="7"/>
  <c r="L42" i="7"/>
  <c r="L48" i="7"/>
  <c r="H29" i="7"/>
  <c r="H40" i="7"/>
  <c r="H24" i="7"/>
  <c r="H34" i="7"/>
  <c r="H32" i="7"/>
  <c r="H48" i="7"/>
  <c r="H33" i="7"/>
  <c r="H36" i="7" s="1"/>
  <c r="H51" i="7"/>
  <c r="H27" i="7"/>
  <c r="L26" i="7"/>
  <c r="L28" i="7"/>
  <c r="L32" i="7"/>
  <c r="L30" i="7"/>
  <c r="L27" i="7"/>
  <c r="L29" i="7"/>
  <c r="L25" i="7"/>
  <c r="L31" i="7"/>
  <c r="L35" i="7"/>
  <c r="L41" i="7"/>
  <c r="L34" i="7"/>
  <c r="L36" i="7" l="1"/>
  <c r="C11" i="6" l="1"/>
  <c r="D11" i="6" s="1"/>
  <c r="C9" i="6"/>
  <c r="C6" i="6"/>
  <c r="C5" i="6"/>
  <c r="C47" i="6" l="1"/>
  <c r="C46" i="6" s="1"/>
  <c r="C45" i="6" s="1"/>
  <c r="C59" i="6"/>
  <c r="C58" i="6" s="1"/>
  <c r="H52" i="6"/>
  <c r="H51" i="6" s="1"/>
  <c r="H50" i="6" s="1"/>
  <c r="H49" i="6" s="1"/>
  <c r="H48" i="6" s="1"/>
  <c r="H47" i="6" s="1"/>
  <c r="H46" i="6" s="1"/>
  <c r="H45" i="6" s="1"/>
  <c r="H44" i="6" s="1"/>
  <c r="H43" i="6" s="1"/>
  <c r="D6" i="6"/>
  <c r="C24" i="6"/>
  <c r="C23" i="6" s="1"/>
  <c r="C22" i="6" s="1"/>
  <c r="C21" i="6" s="1"/>
  <c r="C20" i="6" s="1"/>
  <c r="C19" i="6" s="1"/>
  <c r="H34" i="6"/>
  <c r="H33" i="6" s="1"/>
  <c r="H32" i="6" s="1"/>
  <c r="H31" i="6" s="1"/>
  <c r="H30" i="6" s="1"/>
  <c r="H29" i="6" s="1"/>
  <c r="H28" i="6" s="1"/>
  <c r="H27" i="6" s="1"/>
  <c r="H26" i="6" s="1"/>
  <c r="H25" i="6" s="1"/>
  <c r="H24" i="6" s="1"/>
  <c r="H23" i="6" s="1"/>
  <c r="H22" i="6" s="1"/>
  <c r="H21" i="6" s="1"/>
  <c r="H20" i="6" s="1"/>
  <c r="H19" i="6" s="1"/>
  <c r="C55" i="6"/>
  <c r="C54" i="6" s="1"/>
  <c r="C53" i="6" s="1"/>
  <c r="C52" i="6" s="1"/>
  <c r="C51" i="6" s="1"/>
  <c r="C38" i="6"/>
  <c r="C37" i="6" s="1"/>
  <c r="C36" i="6" s="1"/>
  <c r="D5" i="6"/>
  <c r="D9" i="6"/>
  <c r="H42" i="6" l="1"/>
  <c r="H41" i="6" s="1"/>
  <c r="H40" i="6" s="1"/>
  <c r="H39" i="6" s="1"/>
  <c r="H38" i="6" s="1"/>
  <c r="H37" i="6" s="1"/>
  <c r="C14" i="1"/>
  <c r="I14" i="1"/>
  <c r="C7" i="1"/>
  <c r="I7" i="1"/>
  <c r="L8" i="1" l="1"/>
  <c r="K8" i="1" s="1"/>
  <c r="J7" i="1"/>
  <c r="L7" i="1" s="1"/>
  <c r="K7" i="1" s="1"/>
  <c r="J8" i="1"/>
  <c r="J9" i="1"/>
  <c r="L9" i="1" s="1"/>
  <c r="K9" i="1" s="1"/>
  <c r="J10" i="1"/>
  <c r="L10" i="1" s="1"/>
  <c r="K10" i="1" s="1"/>
  <c r="J11" i="1"/>
  <c r="L11" i="1" s="1"/>
  <c r="K11" i="1" s="1"/>
  <c r="J12" i="1"/>
  <c r="L12" i="1" s="1"/>
  <c r="K12" i="1" s="1"/>
  <c r="J13" i="1"/>
  <c r="L13" i="1" s="1"/>
  <c r="K13" i="1" s="1"/>
  <c r="J14" i="1"/>
  <c r="L14" i="1" s="1"/>
  <c r="K14" i="1" s="1"/>
  <c r="J15" i="1"/>
  <c r="L15" i="1" s="1"/>
  <c r="K15" i="1" s="1"/>
  <c r="J16" i="1"/>
  <c r="L16" i="1" s="1"/>
  <c r="K16" i="1" s="1"/>
  <c r="J17" i="1"/>
  <c r="L17" i="1" s="1"/>
  <c r="K17" i="1" s="1"/>
  <c r="J6" i="1"/>
  <c r="L6" i="1" s="1"/>
  <c r="K6" i="1" s="1"/>
  <c r="D7" i="1"/>
  <c r="F7" i="1" s="1"/>
  <c r="E7" i="1" s="1"/>
  <c r="D8" i="1"/>
  <c r="F8" i="1" s="1"/>
  <c r="E8" i="1" s="1"/>
  <c r="D10" i="1"/>
  <c r="F10" i="1" s="1"/>
  <c r="E10" i="1" s="1"/>
  <c r="D11" i="1"/>
  <c r="F11" i="1" s="1"/>
  <c r="E11" i="1" s="1"/>
  <c r="D12" i="1"/>
  <c r="F12" i="1" s="1"/>
  <c r="E12" i="1" s="1"/>
  <c r="D13" i="1"/>
  <c r="F13" i="1" s="1"/>
  <c r="E13" i="1" s="1"/>
  <c r="D14" i="1"/>
  <c r="F14" i="1" s="1"/>
  <c r="E14" i="1" s="1"/>
  <c r="F15" i="1"/>
  <c r="E15" i="1" s="1"/>
  <c r="D16" i="1"/>
  <c r="F16" i="1" s="1"/>
  <c r="E16" i="1" s="1"/>
  <c r="D6" i="1"/>
  <c r="E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Julie Sandnes Galaaen</author>
  </authors>
  <commentList>
    <comment ref="C6" authorId="0" shapeId="0" xr:uid="{F75E06EA-F01A-B644-A6DE-20F1A0CAB305}">
      <text>
        <r>
          <rPr>
            <b/>
            <sz val="10"/>
            <color rgb="FF000000"/>
            <rFont val="Tahoma"/>
            <family val="2"/>
          </rPr>
          <t>Julie Sandnes Galaaen: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FosenNamsos</t>
        </r>
      </text>
    </comment>
    <comment ref="I6" authorId="0" shapeId="0" xr:uid="{C6F6A587-5DEF-9F42-8ED7-4ECA1E680412}">
      <text>
        <r>
          <rPr>
            <b/>
            <sz val="10"/>
            <color rgb="FF000000"/>
            <rFont val="Tahoma"/>
            <family val="2"/>
          </rPr>
          <t>Julie Sandnes Galaaen: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FosenNamsos</t>
        </r>
      </text>
    </comment>
    <comment ref="C7" authorId="0" shapeId="0" xr:uid="{AE6304E5-F1B3-114B-9E14-7E66268F8EA3}">
      <text>
        <r>
          <rPr>
            <b/>
            <sz val="10"/>
            <color rgb="FF000000"/>
            <rFont val="Tahoma"/>
            <family val="2"/>
          </rPr>
          <t>Julie Sandnes Galaaen: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Siemens</t>
        </r>
      </text>
    </comment>
    <comment ref="I7" authorId="0" shapeId="0" xr:uid="{FDE05A20-B5E6-8C45-B032-E74068DCBCE6}">
      <text>
        <r>
          <rPr>
            <b/>
            <sz val="10"/>
            <color rgb="FF000000"/>
            <rFont val="Tahoma"/>
            <family val="2"/>
          </rPr>
          <t>Julie Sandnes Galaaen: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Siemens</t>
        </r>
      </text>
    </comment>
    <comment ref="C8" authorId="0" shapeId="0" xr:uid="{26D69601-5846-054C-BB99-0786FAE0352B}">
      <text>
        <r>
          <rPr>
            <b/>
            <sz val="10"/>
            <color rgb="FF000000"/>
            <rFont val="Tahoma"/>
            <family val="2"/>
          </rPr>
          <t>Julie Sandnes Galaaen: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Assumed</t>
        </r>
      </text>
    </comment>
    <comment ref="I8" authorId="0" shapeId="0" xr:uid="{D88CC7E2-9926-D446-AEB4-10C95C852EA6}">
      <text>
        <r>
          <rPr>
            <b/>
            <sz val="10"/>
            <color rgb="FF000000"/>
            <rFont val="Tahoma"/>
            <family val="2"/>
          </rPr>
          <t>Julie Sandnes Galaaen: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Siemens</t>
        </r>
      </text>
    </comment>
    <comment ref="I9" authorId="0" shapeId="0" xr:uid="{DA767A43-9571-404A-B5A9-909ADC513F03}">
      <text>
        <r>
          <rPr>
            <b/>
            <sz val="10"/>
            <color rgb="FF000000"/>
            <rFont val="Tahoma"/>
            <family val="2"/>
          </rPr>
          <t>Julie Sandnes Galaaen: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Siemens</t>
        </r>
      </text>
    </comment>
    <comment ref="C10" authorId="0" shapeId="0" xr:uid="{6653979C-37AD-364F-8D9F-EA67E1D3E7A8}">
      <text>
        <r>
          <rPr>
            <b/>
            <sz val="10"/>
            <color rgb="FF000000"/>
            <rFont val="Tahoma"/>
            <family val="2"/>
          </rPr>
          <t>Julie Sandnes Galaaen: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Siemens</t>
        </r>
      </text>
    </comment>
    <comment ref="I10" authorId="0" shapeId="0" xr:uid="{16CA5E1E-B0CA-1E45-8B1C-C40EC6DCEED5}">
      <text>
        <r>
          <rPr>
            <b/>
            <sz val="10"/>
            <color rgb="FF000000"/>
            <rFont val="Tahoma"/>
            <family val="2"/>
          </rPr>
          <t>Julie Sandnes Galaaen: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Epd-Norge</t>
        </r>
      </text>
    </comment>
    <comment ref="C11" authorId="0" shapeId="0" xr:uid="{59E9FE7C-0CFB-0743-9D8B-D0A113374C31}">
      <text>
        <r>
          <rPr>
            <b/>
            <sz val="10"/>
            <color rgb="FF000000"/>
            <rFont val="Tahoma"/>
            <family val="2"/>
          </rPr>
          <t>Julie Sandnes Galaaen: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Epd-Norge</t>
        </r>
      </text>
    </comment>
    <comment ref="I11" authorId="0" shapeId="0" xr:uid="{A3AD212C-D1CD-574B-B64C-79EB30B53C41}">
      <text>
        <r>
          <rPr>
            <b/>
            <sz val="10"/>
            <color rgb="FF000000"/>
            <rFont val="Tahoma"/>
            <family val="2"/>
          </rPr>
          <t>Julie Sandnes Galaaen: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Assumed</t>
        </r>
      </text>
    </comment>
    <comment ref="C12" authorId="0" shapeId="0" xr:uid="{3ECF0D21-5669-E546-B775-98C969381C91}">
      <text>
        <r>
          <rPr>
            <b/>
            <sz val="10"/>
            <color rgb="FF000000"/>
            <rFont val="Tahoma"/>
            <family val="2"/>
          </rPr>
          <t>Julie Sandnes Galaaen: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Assumed</t>
        </r>
      </text>
    </comment>
    <comment ref="I12" authorId="0" shapeId="0" xr:uid="{4656BF88-2D5F-DF46-BD9F-59BC45AE8722}">
      <text>
        <r>
          <rPr>
            <b/>
            <sz val="10"/>
            <color rgb="FF000000"/>
            <rFont val="Tahoma"/>
            <family val="2"/>
          </rPr>
          <t>Julie Sandnes Galaaen: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Siemens</t>
        </r>
      </text>
    </comment>
    <comment ref="C13" authorId="0" shapeId="0" xr:uid="{379B024F-35FD-C54D-83FC-4418BB2EB968}">
      <text>
        <r>
          <rPr>
            <b/>
            <sz val="10"/>
            <color rgb="FF000000"/>
            <rFont val="Tahoma"/>
            <family val="2"/>
          </rPr>
          <t>Julie Sandnes Galaaen: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Siemens</t>
        </r>
      </text>
    </comment>
    <comment ref="I13" authorId="0" shapeId="0" xr:uid="{F9C1B542-A117-274E-9BEE-6705B53A5EED}">
      <text>
        <r>
          <rPr>
            <b/>
            <sz val="10"/>
            <color rgb="FF000000"/>
            <rFont val="Tahoma"/>
            <family val="2"/>
          </rPr>
          <t>Julie Sandnes Galaaen: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Siemens</t>
        </r>
      </text>
    </comment>
    <comment ref="C14" authorId="0" shapeId="0" xr:uid="{B1951459-88E8-CA43-884F-CBC429A6B8CF}">
      <text>
        <r>
          <rPr>
            <b/>
            <sz val="10"/>
            <color rgb="FF000000"/>
            <rFont val="Tahoma"/>
            <family val="2"/>
          </rPr>
          <t>Julie Sandnes Galaaen: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Siemens</t>
        </r>
      </text>
    </comment>
    <comment ref="I14" authorId="0" shapeId="0" xr:uid="{0B0D788C-A7DF-724C-A65F-2465374CF2CF}">
      <text>
        <r>
          <rPr>
            <b/>
            <sz val="10"/>
            <color rgb="FF000000"/>
            <rFont val="Tahoma"/>
            <family val="2"/>
          </rPr>
          <t>Julie Sandnes Galaaen: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Siemens</t>
        </r>
      </text>
    </comment>
    <comment ref="C15" authorId="0" shapeId="0" xr:uid="{13F49001-C352-B743-A5C2-FEF91069EEF1}">
      <text>
        <r>
          <rPr>
            <b/>
            <sz val="10"/>
            <color rgb="FF000000"/>
            <rFont val="Tahoma"/>
            <family val="2"/>
          </rPr>
          <t>Julie Sandnes Galaaen: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Epd-Norge</t>
        </r>
      </text>
    </comment>
    <comment ref="I15" authorId="0" shapeId="0" xr:uid="{054E5A9A-761C-6440-9E44-D641FC6DF5C4}">
      <text>
        <r>
          <rPr>
            <b/>
            <sz val="10"/>
            <color rgb="FF000000"/>
            <rFont val="Tahoma"/>
            <family val="2"/>
          </rPr>
          <t>Julie Sandnes Galaaen: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Epd-Norge</t>
        </r>
      </text>
    </comment>
    <comment ref="C16" authorId="0" shapeId="0" xr:uid="{EC858AC3-26C9-AA44-8E0F-4D19C0113582}">
      <text>
        <r>
          <rPr>
            <b/>
            <sz val="10"/>
            <color rgb="FF000000"/>
            <rFont val="Tahoma"/>
            <family val="2"/>
          </rPr>
          <t>Julie Sandnes Galaaen: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Calculated</t>
        </r>
      </text>
    </comment>
    <comment ref="I16" authorId="0" shapeId="0" xr:uid="{53950CC0-C048-6144-8099-F9F4EE43CFFB}">
      <text>
        <r>
          <rPr>
            <b/>
            <sz val="10"/>
            <color rgb="FF000000"/>
            <rFont val="Tahoma"/>
            <family val="2"/>
          </rPr>
          <t>Julie Sandnes Galaaen: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Calculated
</t>
        </r>
      </text>
    </comment>
    <comment ref="I17" authorId="0" shapeId="0" xr:uid="{7C70A843-F0F1-C849-9219-0BC6B4B14A36}">
      <text>
        <r>
          <rPr>
            <b/>
            <sz val="10"/>
            <color rgb="FF000000"/>
            <rFont val="Tahoma"/>
            <family val="2"/>
          </rPr>
          <t>Julie Sandnes Galaaen: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Siemens</t>
        </r>
      </text>
    </comment>
    <comment ref="C18" authorId="0" shapeId="0" xr:uid="{291DFF00-E7E6-2446-B3EE-2DB1543F342D}">
      <text>
        <r>
          <rPr>
            <b/>
            <sz val="10"/>
            <color rgb="FF000000"/>
            <rFont val="Tahoma"/>
            <family val="2"/>
          </rPr>
          <t>Julie Sandnes Galaaen: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Siemens
</t>
        </r>
      </text>
    </comment>
    <comment ref="I19" authorId="0" shapeId="0" xr:uid="{6921054A-20E6-4A4B-969E-BABF95927C6C}">
      <text>
        <r>
          <rPr>
            <b/>
            <sz val="10"/>
            <color rgb="FF000000"/>
            <rFont val="Tahoma"/>
            <family val="2"/>
          </rPr>
          <t>Julie Sandnes Galaaen: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Siemens
</t>
        </r>
      </text>
    </comment>
  </commentList>
</comments>
</file>

<file path=xl/sharedStrings.xml><?xml version="1.0" encoding="utf-8"?>
<sst xmlns="http://schemas.openxmlformats.org/spreadsheetml/2006/main" count="1115" uniqueCount="278">
  <si>
    <t>Electric motor</t>
  </si>
  <si>
    <t>Battery</t>
  </si>
  <si>
    <t>Ferry</t>
  </si>
  <si>
    <t>Lifetime/lifetime ferry</t>
  </si>
  <si>
    <t>Number of replacements</t>
  </si>
  <si>
    <t>Total number</t>
  </si>
  <si>
    <t>Diesel electric ferry</t>
  </si>
  <si>
    <t>Diesel engine</t>
  </si>
  <si>
    <t>Component</t>
  </si>
  <si>
    <t>Battery electric ferry</t>
  </si>
  <si>
    <t>Lifetime [yr]</t>
  </si>
  <si>
    <t>Interior</t>
  </si>
  <si>
    <t>Diesel tank</t>
  </si>
  <si>
    <t>Vacuum mooring system</t>
  </si>
  <si>
    <t>Transformers at port</t>
  </si>
  <si>
    <t>Batteries at port</t>
  </si>
  <si>
    <t>Transformers</t>
  </si>
  <si>
    <t>Generator</t>
  </si>
  <si>
    <t>Efficiency</t>
  </si>
  <si>
    <t>300 kVA shipnet transformer</t>
  </si>
  <si>
    <t>2700 kVA dry type cast resin transformer</t>
  </si>
  <si>
    <t>11 kV switchboard</t>
  </si>
  <si>
    <t>kWh</t>
  </si>
  <si>
    <t>Comment</t>
  </si>
  <si>
    <t>Battery electric operation</t>
  </si>
  <si>
    <t>Propulsion energy</t>
  </si>
  <si>
    <t>Diesel electric operation</t>
  </si>
  <si>
    <t>kg</t>
  </si>
  <si>
    <t>930 kVA dry type cast resin transformer</t>
  </si>
  <si>
    <t>Weight Siemens product</t>
  </si>
  <si>
    <t>Electrical steel kg/ABB product</t>
  </si>
  <si>
    <t>Copper kg/ABB product</t>
  </si>
  <si>
    <t>Cast iron kg/ABB product</t>
  </si>
  <si>
    <t>Impregnation resin kg/ABB product</t>
  </si>
  <si>
    <t>Paint kg/ABB product</t>
  </si>
  <si>
    <t>Electrical steel kg/Siemens product</t>
  </si>
  <si>
    <t>Copper kg/Siemens product</t>
  </si>
  <si>
    <t>Cast iron kg/Siemens product</t>
  </si>
  <si>
    <t>Impregnation resin kg/Siemens product</t>
  </si>
  <si>
    <t>Paint kg/Siemens product</t>
  </si>
  <si>
    <t>Scaling factor</t>
  </si>
  <si>
    <t>Amount of natural gas used for heating in Germany in 2018</t>
  </si>
  <si>
    <t>TJ</t>
  </si>
  <si>
    <t>Amount of other sources used for heating in Germany in 2018</t>
  </si>
  <si>
    <t>Share of heat from natural gas</t>
  </si>
  <si>
    <t>Electric motor ferry</t>
  </si>
  <si>
    <t>Electric motor mooring system</t>
  </si>
  <si>
    <t>Weight Cavotec product</t>
  </si>
  <si>
    <t>Electrical steel kg/Cavotec product</t>
  </si>
  <si>
    <t>Copper kg/Cavotec product</t>
  </si>
  <si>
    <t>Cast iron kg/Cavotec product</t>
  </si>
  <si>
    <t>Impregnation resin kg/Cavotec product</t>
  </si>
  <si>
    <t>Paint kg/Cavotec product</t>
  </si>
  <si>
    <t>Amount of natural gas used for heating in Italy in 2018</t>
  </si>
  <si>
    <t>Amount of other sources used for heating in Italy in 2018</t>
  </si>
  <si>
    <t>Electrical energy manufacturing kWh/ABB trafo</t>
  </si>
  <si>
    <t>Heat energy manufacturing kWh/ABB trafo</t>
  </si>
  <si>
    <t>Weight Siemens</t>
  </si>
  <si>
    <t>Oil</t>
  </si>
  <si>
    <t>Sum</t>
  </si>
  <si>
    <t>Other steel kg/ABB product</t>
  </si>
  <si>
    <t>Aluminium kg/ABB product</t>
  </si>
  <si>
    <t>Insulation material kg/ABB product</t>
  </si>
  <si>
    <t>Wooden packing material kg/ABB product</t>
  </si>
  <si>
    <t>Weight ABB product</t>
  </si>
  <si>
    <t>Waste: oil emulsions after manufacturing phase kg/kW ABB</t>
  </si>
  <si>
    <t>Waste: various after manufacturing phase kg/kW ABB</t>
  </si>
  <si>
    <t>Waste: regular during manufacturing phase kg/kW ABB</t>
  </si>
  <si>
    <t>kg/ABB product / kg/kW ABB</t>
  </si>
  <si>
    <t>Waste: oil emulsions after manufacturing phase kg/ABB product</t>
  </si>
  <si>
    <t>Waste: various after manufacturing phase kg/ABB product</t>
  </si>
  <si>
    <t>Waste: regular during manufacturing phase kg/ABB product</t>
  </si>
  <si>
    <t>Waste: oil emulsions after manufacturing phase kg/Siemens product</t>
  </si>
  <si>
    <t>Waste: various after manufacturing phase kg/Siemens product</t>
  </si>
  <si>
    <t>Waste: regular during manufacturing phase kg/Siemens product</t>
  </si>
  <si>
    <t>Other steel kg/Siemens product</t>
  </si>
  <si>
    <t>Aluminium kg/Siemens product</t>
  </si>
  <si>
    <t>Insulation material kg/Siemens product</t>
  </si>
  <si>
    <t>Wooden packing material kg/Siemens product</t>
  </si>
  <si>
    <t>Control weight Siemens product</t>
  </si>
  <si>
    <t>Electrical energy disposal kWh/ABB product</t>
  </si>
  <si>
    <t>Electrical energy manufacturing kWh/ABB product</t>
  </si>
  <si>
    <t>Heat energy manufacturing kWh/ABB product</t>
  </si>
  <si>
    <t>Electrical energy manufacturing kWh/Siemens product</t>
  </si>
  <si>
    <t>Heat energy manufacturing kWh/Siemens product</t>
  </si>
  <si>
    <t>Electrical energy disposal kWh/Siemens product</t>
  </si>
  <si>
    <t>Other steel kg/Cavotec product</t>
  </si>
  <si>
    <t>Aluminium kg/Cavotec product</t>
  </si>
  <si>
    <t>Insulation material kg/Cavotec product</t>
  </si>
  <si>
    <t>Wooden packing material kg/Cavotec product</t>
  </si>
  <si>
    <t>Waste: oil emulsions after manufacturing phase kg/Cavotec product</t>
  </si>
  <si>
    <t>Waste: various after manufacturing phase kg/Cavotec product</t>
  </si>
  <si>
    <t>Waste: regular during manufacturing phase kg/Cavotec product</t>
  </si>
  <si>
    <t>Control weight Cavotec product</t>
  </si>
  <si>
    <t>Electrical energy manufacturing kWh/Cavotec product</t>
  </si>
  <si>
    <t>Heat energy manufacturing kWh/Cavotec product</t>
  </si>
  <si>
    <t>Electrical energy disposal kWh/Cavotec product</t>
  </si>
  <si>
    <t>Large distribution transformer 10 MVA</t>
  </si>
  <si>
    <t>Estimated weight of transformer</t>
  </si>
  <si>
    <t>Electrical energy manufacturing kWh/kg ABB trafo</t>
  </si>
  <si>
    <t>Heat energy manufacturing kWh/kg ABB trafo</t>
  </si>
  <si>
    <t>kWh/kg</t>
  </si>
  <si>
    <t>Transformers produced in Finland</t>
  </si>
  <si>
    <t>Amount of natural gas used for heating in Finland in 2018</t>
  </si>
  <si>
    <t>Amount of other sources used for heating in Finland in 2018</t>
  </si>
  <si>
    <t>Amount of natural gas used for heating in United Kingdom in 2018</t>
  </si>
  <si>
    <t>Amount of other sources used for heating in United Kingdom in 2018</t>
  </si>
  <si>
    <t>kg/kW</t>
  </si>
  <si>
    <t>Waste: regular to landfill during disposal phase kg/kW ABB</t>
  </si>
  <si>
    <t>Waste: regular to landfill during disposal phase kg/ABB product</t>
  </si>
  <si>
    <t>Waste: regular to landfill during disposal phase kg/Siemens product</t>
  </si>
  <si>
    <t>Waste: regular to landfill during disposal phase kg/Cavotec product</t>
  </si>
  <si>
    <t>Plastic kg/ABB product</t>
  </si>
  <si>
    <t>Steel kg/ABB product</t>
  </si>
  <si>
    <t>Iron kg/ABB product</t>
  </si>
  <si>
    <t>Cardboard kg/ABB product</t>
  </si>
  <si>
    <t>Other kg/ABB product</t>
  </si>
  <si>
    <t>Waste: hazardous waste during manufacturing kg/kW ABB product</t>
  </si>
  <si>
    <t>Waste: regular waste to landfill during manufacturing kg/kW ABB product</t>
  </si>
  <si>
    <t>kg/ABB product / kg/kW ABB product</t>
  </si>
  <si>
    <t>Waste: hazardous waste during manufacturing kg/ABB product</t>
  </si>
  <si>
    <t>Waste: regular waste to landfill during manufacturing kg/ABB product</t>
  </si>
  <si>
    <t>Plastic kg/Siemens product</t>
  </si>
  <si>
    <t>Steel kg/Siemens product</t>
  </si>
  <si>
    <t>Iron kg/Siemens product</t>
  </si>
  <si>
    <t>Cardboard kg/Siemens product</t>
  </si>
  <si>
    <t>Other kg/Siemens product</t>
  </si>
  <si>
    <t>Waste: hazardous waste during manufacturing kg/Siemens product</t>
  </si>
  <si>
    <t>Waste: regular waste to landfill during manufacturing kg/Siemens product</t>
  </si>
  <si>
    <t>Drive for BDPC switchboard FWD</t>
  </si>
  <si>
    <t>Drive for BDPC switchboard AFT</t>
  </si>
  <si>
    <t>Drive for 230V FWD switchboard</t>
  </si>
  <si>
    <t>Drive for BDPC switchboard port</t>
  </si>
  <si>
    <t>Drive for 11kV switchboard ferry</t>
  </si>
  <si>
    <t>Drive for 11kV switchboard port</t>
  </si>
  <si>
    <t>Control systems</t>
  </si>
  <si>
    <t>Thruster</t>
  </si>
  <si>
    <t>UPS</t>
  </si>
  <si>
    <t>Oil transformers</t>
  </si>
  <si>
    <t>Amount of natural gas used for heating in Norway in 2018</t>
  </si>
  <si>
    <t>Amount of other sources used for heating in Norway in 2018</t>
  </si>
  <si>
    <t>Total number of seats</t>
  </si>
  <si>
    <t>p</t>
  </si>
  <si>
    <t>Estimated seats wood</t>
  </si>
  <si>
    <t>Estimated seats metal</t>
  </si>
  <si>
    <t>Estimated sofa</t>
  </si>
  <si>
    <t>Control</t>
  </si>
  <si>
    <t>Estimated tables</t>
  </si>
  <si>
    <t>Production coal</t>
  </si>
  <si>
    <t>Production oil</t>
  </si>
  <si>
    <t>Production natural gas</t>
  </si>
  <si>
    <t>Production biofuels</t>
  </si>
  <si>
    <t>Production nuclear</t>
  </si>
  <si>
    <t>Production hydro</t>
  </si>
  <si>
    <t>Production geothermal</t>
  </si>
  <si>
    <t>Production solar PV</t>
  </si>
  <si>
    <t>Production solar thermal</t>
  </si>
  <si>
    <t>Production wind</t>
  </si>
  <si>
    <t>Production tide</t>
  </si>
  <si>
    <t>Production other sources</t>
  </si>
  <si>
    <t>Production municipal waste</t>
  </si>
  <si>
    <t>Total production</t>
  </si>
  <si>
    <t>Imports</t>
  </si>
  <si>
    <t>Exports</t>
  </si>
  <si>
    <t>Netto</t>
  </si>
  <si>
    <t>Domestic supply</t>
  </si>
  <si>
    <t>Netto Norwegian production</t>
  </si>
  <si>
    <t>Norwegian production 2018</t>
  </si>
  <si>
    <t>OECD European production 2017</t>
  </si>
  <si>
    <t>Amount in consumption</t>
  </si>
  <si>
    <t>Share in consumption</t>
  </si>
  <si>
    <t>Amount in production</t>
  </si>
  <si>
    <t>Share in production</t>
  </si>
  <si>
    <t>Waste: hazardous various after usage phase kg/kW ABB</t>
  </si>
  <si>
    <t>Waste: hazardous various after usage phase kg/ABB product</t>
  </si>
  <si>
    <t>Waste: hazardous various after usage phase kg/Siemens product</t>
  </si>
  <si>
    <t>Hazardous waste end of life kg/ABB trafo</t>
  </si>
  <si>
    <t>Hazardous waste end of life kg/kg ABB trafo</t>
  </si>
  <si>
    <t>kg/kg</t>
  </si>
  <si>
    <t>Landfill waste end of life kg/ABB trafo</t>
  </si>
  <si>
    <t>Landfill waste end of life kg/kg ABB trafo</t>
  </si>
  <si>
    <t>Hazardous waste at disposal phase kg/kW ABB product</t>
  </si>
  <si>
    <t>Regular waste to landfill at disposal phase kg/kW ABB product</t>
  </si>
  <si>
    <t>Hazardous waste at disposal phase kg/ABB product</t>
  </si>
  <si>
    <t>Regular waste to landfill at disposal phase kg/ABB product</t>
  </si>
  <si>
    <t>Hazardous waste at disposal phase kg/Siemens product</t>
  </si>
  <si>
    <t>Regular waste to landfill at disposal phase kg/Siemens product</t>
  </si>
  <si>
    <t>Drive for 230V AFT switchboard</t>
  </si>
  <si>
    <t>Reference</t>
  </si>
  <si>
    <t>Loss</t>
  </si>
  <si>
    <t>Shore power hotel load</t>
  </si>
  <si>
    <t>Hotel energy</t>
  </si>
  <si>
    <t>Shore transformer not in Siemens scope</t>
  </si>
  <si>
    <t>230 V switchboard</t>
  </si>
  <si>
    <t>Shore power trafo not in Siemens scope</t>
  </si>
  <si>
    <t>Defined by the hotel load needed</t>
  </si>
  <si>
    <t>Assumed that the grid electricity goes directly into the transformer</t>
  </si>
  <si>
    <t>Battery power hotel load</t>
  </si>
  <si>
    <t>300 kVA transformer</t>
  </si>
  <si>
    <t>BlueDrive switchboard</t>
  </si>
  <si>
    <t>Battery discharging</t>
  </si>
  <si>
    <t>Battery charging</t>
  </si>
  <si>
    <t>Energy to propeller</t>
  </si>
  <si>
    <t>The MariTEAM code takes into account the propeller efficiency</t>
  </si>
  <si>
    <t>Ferry discharging</t>
  </si>
  <si>
    <t>Ferry battery charging</t>
  </si>
  <si>
    <t>Ferry battery discharging</t>
  </si>
  <si>
    <t>Energy in ferry battery</t>
  </si>
  <si>
    <t>Ferry BlueDrive switchboard</t>
  </si>
  <si>
    <t>2700 kVA transformer</t>
  </si>
  <si>
    <t>Ferry 11 kV switchboard</t>
  </si>
  <si>
    <t>Shore 11 kV switchboard</t>
  </si>
  <si>
    <t>Shore</t>
  </si>
  <si>
    <t>1600 kVA ESS transformer</t>
  </si>
  <si>
    <t>Shore BlueDrive switchboard</t>
  </si>
  <si>
    <t>Shore battery discharging</t>
  </si>
  <si>
    <t>Shore battery charging</t>
  </si>
  <si>
    <t>1600 kVA grid transformer</t>
  </si>
  <si>
    <t>Energy in shore battery</t>
  </si>
  <si>
    <t>Drives in switchboards</t>
  </si>
  <si>
    <t>MariTEAM power</t>
  </si>
  <si>
    <t>MariTEAM aux power for non-operating hours</t>
  </si>
  <si>
    <t>MariTEAM aux power for operating hours</t>
  </si>
  <si>
    <t>Incorporated in MariTEAM</t>
  </si>
  <si>
    <t>Fuel tank</t>
  </si>
  <si>
    <t>Diesel power hotel load</t>
  </si>
  <si>
    <t>Data sheet</t>
  </si>
  <si>
    <t>Estimate from Siemens</t>
  </si>
  <si>
    <t>Ferry charging via shore batteries</t>
  </si>
  <si>
    <t>Ferry charging directly from grid</t>
  </si>
  <si>
    <t>Battery electric operation via shore batteries</t>
  </si>
  <si>
    <t>Battery electric operation directly from grid</t>
  </si>
  <si>
    <t>Battery power hotel load via shore batteries</t>
  </si>
  <si>
    <t>Battery power hotel load directly from grid</t>
  </si>
  <si>
    <t>Electricity from grid</t>
  </si>
  <si>
    <t>Electricity to propeller</t>
  </si>
  <si>
    <t>Base case</t>
  </si>
  <si>
    <t>Sensitivity: current European</t>
  </si>
  <si>
    <t>Sensitivity: current Norwegian</t>
  </si>
  <si>
    <t>Other sources</t>
  </si>
  <si>
    <t xml:space="preserve">Coal </t>
  </si>
  <si>
    <t>Gas</t>
  </si>
  <si>
    <t>Waste</t>
  </si>
  <si>
    <t>Nuclear</t>
  </si>
  <si>
    <t>Hydro</t>
  </si>
  <si>
    <t>Solar PV</t>
  </si>
  <si>
    <t>Wind</t>
  </si>
  <si>
    <t>EUCO27 2030</t>
  </si>
  <si>
    <t>Sensitivity: future European</t>
  </si>
  <si>
    <t>Coal:</t>
  </si>
  <si>
    <t>Oil:</t>
  </si>
  <si>
    <t>Natural gas:</t>
  </si>
  <si>
    <t>Biofuels:</t>
  </si>
  <si>
    <t>Waste:</t>
  </si>
  <si>
    <t>Nuclear:</t>
  </si>
  <si>
    <t>Hydro:</t>
  </si>
  <si>
    <t>Geothermal:</t>
  </si>
  <si>
    <t>Solar PV:</t>
  </si>
  <si>
    <t>Solar thermal:</t>
  </si>
  <si>
    <t>Wind:</t>
  </si>
  <si>
    <t>Tide:</t>
  </si>
  <si>
    <t>Other sources:</t>
  </si>
  <si>
    <t>Sum:</t>
  </si>
  <si>
    <t>Norway+Sweden+Denmark</t>
  </si>
  <si>
    <t>Sensitivity: Norway with imports from only Sweden and Denmark</t>
  </si>
  <si>
    <t>PKT</t>
  </si>
  <si>
    <t>Passenger capacity</t>
  </si>
  <si>
    <t>Capacity utilisation</t>
  </si>
  <si>
    <t>Total travelled km during lifetime</t>
  </si>
  <si>
    <t>https://www.ssb.no/statbank/table/11844/tableViewLayout1/</t>
  </si>
  <si>
    <t>Båtruter, Trøndelag</t>
  </si>
  <si>
    <t>Number of crossings during a year</t>
  </si>
  <si>
    <t>Length of one crossing</t>
  </si>
  <si>
    <t>km</t>
  </si>
  <si>
    <t>Including crew</t>
  </si>
  <si>
    <t>https://maritimt.com/nb/batomtaler/lagatunmunken-012019</t>
  </si>
  <si>
    <t>FN</t>
  </si>
  <si>
    <t>https://www.fosennamsos.no/flakk-rorvik/category2688.html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</si>
</sst>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\ %"/>
  </numFmts>
  <fonts count="7">
    <font>
      <sz val="12"/>
      <color theme="1"/>
      <name val="Calibri"/>
      <family val="2"/>
      <scheme val="minor"/>
    </font>
    <font>
      <b/>
      <sz val="10"/>
      <color rgb="FF000000"/>
      <name val="Tahoma"/>
      <family val="2"/>
    </font>
    <font>
      <sz val="10"/>
      <color rgb="FF000000"/>
      <name val="Tahoma"/>
      <family val="2"/>
    </font>
    <font>
      <sz val="11"/>
      <color rgb="FF201F1E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0"/>
        <bgColor rgb="FF0000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7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2" borderId="0" xfId="0" applyFill="1" applyAlignment="1">
      <alignment horizontal="center"/>
    </xf>
    <xf numFmtId="0" fontId="0" fillId="7" borderId="0" xfId="0" applyFill="1"/>
    <xf numFmtId="0" fontId="4" fillId="8" borderId="0" xfId="0" applyFont="1" applyFill="1"/>
    <xf numFmtId="2" fontId="0" fillId="2" borderId="0" xfId="0" applyNumberFormat="1" applyFill="1"/>
    <xf numFmtId="0" fontId="0" fillId="2" borderId="0" xfId="0" applyFill="1" applyAlignment="1"/>
    <xf numFmtId="0" fontId="0" fillId="2" borderId="0" xfId="0" applyFont="1" applyFill="1" applyAlignment="1"/>
    <xf numFmtId="0" fontId="0" fillId="4" borderId="0" xfId="0" applyFill="1" applyAlignment="1">
      <alignment horizontal="center"/>
    </xf>
    <xf numFmtId="0" fontId="0" fillId="4" borderId="0" xfId="0" applyFill="1" applyAlignment="1">
      <alignment horizontal="center"/>
    </xf>
    <xf numFmtId="10" fontId="0" fillId="2" borderId="0" xfId="0" applyNumberFormat="1" applyFill="1"/>
    <xf numFmtId="164" fontId="0" fillId="2" borderId="0" xfId="0" applyNumberFormat="1" applyFill="1"/>
    <xf numFmtId="0" fontId="3" fillId="2" borderId="0" xfId="0" applyFont="1" applyFill="1"/>
    <xf numFmtId="0" fontId="4" fillId="9" borderId="0" xfId="0" applyFont="1" applyFill="1"/>
    <xf numFmtId="0" fontId="4" fillId="10" borderId="0" xfId="0" applyFont="1" applyFill="1"/>
    <xf numFmtId="0" fontId="5" fillId="2" borderId="0" xfId="0" applyFont="1" applyFill="1"/>
    <xf numFmtId="0" fontId="6" fillId="2" borderId="0" xfId="1" applyFill="1"/>
    <xf numFmtId="0" fontId="0" fillId="7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5" borderId="0" xfId="0" applyFont="1" applyFill="1" applyAlignment="1">
      <alignment horizontal="center"/>
    </xf>
    <xf numFmtId="0" fontId="0" fillId="5" borderId="0" xfId="0" applyFill="1" applyAlignment="1">
      <alignment horizontal="center"/>
    </xf>
  </cellXfs>
  <cellStyles count="2">
    <cellStyle name="Hyperkobling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:/J:/Thesis/Data/Battery_ERN6_dev_01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:/J:/Thesis/Data/Battery_Linda_de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:/J:/Thesis/Data/other/Copy%20of%20Majeau-Bettez_etal_Ecar2011_BatteryLC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C:/J:/Thesis/Data/Guillaume_etal_Ecar2011_BatteryLC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"/>
      <sheetName val="Foreground"/>
      <sheetName val="A_bf"/>
      <sheetName val="F_f"/>
      <sheetName val="y_gen"/>
      <sheetName val="Version"/>
      <sheetName val="1_ERN6"/>
      <sheetName val="2_Battery_packaging"/>
      <sheetName val="3_BMS"/>
      <sheetName val="4_Battery_module"/>
      <sheetName val="52_LiNiCoMnO2"/>
      <sheetName val="57_LiPF6"/>
      <sheetName val="Check"/>
      <sheetName val="Materials"/>
      <sheetName val="Parameters"/>
      <sheetName val="Stressor_convers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56">
          <cell r="C56">
            <v>157.7576</v>
          </cell>
        </row>
        <row r="67">
          <cell r="E67">
            <v>0.86199999999999999</v>
          </cell>
        </row>
        <row r="71">
          <cell r="B71">
            <v>1.6021764869999998E-19</v>
          </cell>
        </row>
        <row r="72">
          <cell r="B72">
            <v>6.0221417899999992E+23</v>
          </cell>
        </row>
      </sheetData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"/>
      <sheetName val="Foreground"/>
      <sheetName val="A_bf"/>
      <sheetName val="F_f"/>
      <sheetName val="y_gen"/>
      <sheetName val="Version"/>
      <sheetName val="1_Battery_tray_complete"/>
      <sheetName val="2_Battery_packaging"/>
      <sheetName val="3_BMS"/>
      <sheetName val="4_Battery_boxes"/>
      <sheetName val="19_Battery_module"/>
      <sheetName val="60_LiNiCoMnO2"/>
      <sheetName val="65_LiPF6"/>
      <sheetName val="Check"/>
      <sheetName val="Materials"/>
      <sheetName val="Parameters"/>
      <sheetName val="Stressor_convers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5">
          <cell r="C5">
            <v>54.938048999999999</v>
          </cell>
        </row>
        <row r="6">
          <cell r="C6">
            <v>58.933199999999999</v>
          </cell>
        </row>
        <row r="7">
          <cell r="C7">
            <v>58.693399999999997</v>
          </cell>
        </row>
        <row r="9">
          <cell r="C9">
            <v>15.9994</v>
          </cell>
        </row>
        <row r="10">
          <cell r="C10">
            <v>32.064999999999998</v>
          </cell>
        </row>
        <row r="11">
          <cell r="C11">
            <v>22.98977</v>
          </cell>
        </row>
        <row r="12">
          <cell r="C12">
            <v>1.0097</v>
          </cell>
        </row>
        <row r="23">
          <cell r="C23">
            <v>18.018799999999999</v>
          </cell>
        </row>
        <row r="25">
          <cell r="C25">
            <v>96.179019600000004</v>
          </cell>
        </row>
        <row r="29">
          <cell r="C29">
            <v>73.891000000000005</v>
          </cell>
        </row>
        <row r="32">
          <cell r="C32">
            <v>98.081999999999994</v>
          </cell>
        </row>
        <row r="33">
          <cell r="C33">
            <v>154.756</v>
          </cell>
        </row>
        <row r="34">
          <cell r="C34">
            <v>154.9958</v>
          </cell>
        </row>
        <row r="35">
          <cell r="C35">
            <v>151.00064900000001</v>
          </cell>
        </row>
        <row r="41">
          <cell r="C41">
            <v>74.093000000000004</v>
          </cell>
        </row>
        <row r="42">
          <cell r="C42">
            <v>23.948</v>
          </cell>
        </row>
        <row r="43">
          <cell r="C43">
            <v>41.96</v>
          </cell>
          <cell r="E43">
            <v>1.51</v>
          </cell>
        </row>
        <row r="44">
          <cell r="E44">
            <v>3.6316618352922716</v>
          </cell>
        </row>
      </sheetData>
      <sheetData sheetId="15" refreshError="1">
        <row r="48">
          <cell r="D48">
            <v>0.1</v>
          </cell>
        </row>
        <row r="49">
          <cell r="D49">
            <v>3.6</v>
          </cell>
        </row>
        <row r="57">
          <cell r="D57">
            <v>1</v>
          </cell>
        </row>
      </sheetData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fore"/>
      <sheetName val="backfore"/>
      <sheetName val="emissions"/>
      <sheetName val="My_Li_ion"/>
      <sheetName val="my_NiMH"/>
      <sheetName val="Material_Energy_Contents"/>
      <sheetName val="Materials"/>
      <sheetName val="Parameters"/>
      <sheetName val="production"/>
      <sheetName val="SideInvestigations"/>
      <sheetName val="References"/>
      <sheetName val="A_ff"/>
      <sheetName val="A_bf"/>
      <sheetName val="F_f"/>
      <sheetName val="PRO_f"/>
      <sheetName val="PRO_labels"/>
      <sheetName val="STR"/>
      <sheetName val="PRO_m"/>
      <sheetName val="A_mf"/>
      <sheetName val="A_bm"/>
      <sheetName val="fo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9">
          <cell r="D39">
            <v>1.8626666666666669</v>
          </cell>
        </row>
        <row r="45">
          <cell r="D45">
            <v>1.8519999999999999</v>
          </cell>
        </row>
        <row r="54">
          <cell r="D54">
            <v>1E-3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fore"/>
      <sheetName val="backfore"/>
      <sheetName val="emissions"/>
      <sheetName val="My_Li_ion"/>
      <sheetName val="my_NiMH"/>
      <sheetName val="Material_Energy_Contents"/>
      <sheetName val="Materials"/>
      <sheetName val="Parameters"/>
      <sheetName val="production"/>
      <sheetName val="SideInvestigations"/>
      <sheetName val="References"/>
      <sheetName val="A_ff"/>
      <sheetName val="A_bf"/>
      <sheetName val="F_f"/>
      <sheetName val="PRO_f"/>
      <sheetName val="PRO_labels"/>
      <sheetName val="STR"/>
      <sheetName val="PRO_m"/>
      <sheetName val="A_mf"/>
      <sheetName val="A_bm"/>
      <sheetName val="foo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C5">
            <v>54.938048999999999</v>
          </cell>
        </row>
      </sheetData>
      <sheetData sheetId="8">
        <row r="47">
          <cell r="D47">
            <v>0.60000000000000009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-tema">
  <a:themeElements>
    <a:clrScheme name="Integrert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fosennamsos.no/flakk-rorvik/category2688.html" TargetMode="External"/><Relationship Id="rId2" Type="http://schemas.openxmlformats.org/officeDocument/2006/relationships/hyperlink" Target="https://maritimt.com/nb/batomtaler/lagatunmunken-012019" TargetMode="External"/><Relationship Id="rId1" Type="http://schemas.openxmlformats.org/officeDocument/2006/relationships/hyperlink" Target="https://www.ssb.no/statbank/table/11844/tableViewLayout1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2C260-5693-F644-BD7A-F86BB8DAFDDB}">
  <dimension ref="A1:V60"/>
  <sheetViews>
    <sheetView workbookViewId="0">
      <selection activeCell="J37" sqref="J37"/>
    </sheetView>
  </sheetViews>
  <sheetFormatPr baseColWidth="10" defaultRowHeight="16"/>
  <cols>
    <col min="2" max="2" width="21.83203125" bestFit="1" customWidth="1"/>
    <col min="3" max="3" width="11.33203125" bestFit="1" customWidth="1"/>
    <col min="4" max="4" width="19.83203125" bestFit="1" customWidth="1"/>
    <col min="5" max="5" width="22" bestFit="1" customWidth="1"/>
    <col min="6" max="6" width="12.1640625" bestFit="1" customWidth="1"/>
    <col min="7" max="7" width="12.1640625" customWidth="1"/>
    <col min="8" max="8" width="21.83203125" bestFit="1" customWidth="1"/>
    <col min="9" max="9" width="11.33203125" bestFit="1" customWidth="1"/>
    <col min="10" max="10" width="19.83203125" bestFit="1" customWidth="1"/>
    <col min="11" max="11" width="22" bestFit="1" customWidth="1"/>
    <col min="12" max="12" width="12.1640625" bestFit="1" customWidth="1"/>
  </cols>
  <sheetData>
    <row r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>
      <c r="A4" s="1"/>
      <c r="B4" s="21" t="s">
        <v>6</v>
      </c>
      <c r="C4" s="21"/>
      <c r="D4" s="21"/>
      <c r="E4" s="21"/>
      <c r="F4" s="21"/>
      <c r="G4" s="6"/>
      <c r="H4" s="21" t="s">
        <v>9</v>
      </c>
      <c r="I4" s="21"/>
      <c r="J4" s="21"/>
      <c r="K4" s="21"/>
      <c r="L4" s="2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>
      <c r="A5" s="1"/>
      <c r="B5" s="5" t="s">
        <v>8</v>
      </c>
      <c r="C5" s="4" t="s">
        <v>10</v>
      </c>
      <c r="D5" s="4" t="s">
        <v>3</v>
      </c>
      <c r="E5" s="2" t="s">
        <v>4</v>
      </c>
      <c r="F5" s="3" t="s">
        <v>5</v>
      </c>
      <c r="G5" s="1"/>
      <c r="H5" s="5" t="s">
        <v>8</v>
      </c>
      <c r="I5" s="4" t="s">
        <v>10</v>
      </c>
      <c r="J5" s="4" t="s">
        <v>3</v>
      </c>
      <c r="K5" s="2" t="s">
        <v>4</v>
      </c>
      <c r="L5" s="3" t="s">
        <v>5</v>
      </c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>
      <c r="A6" s="1"/>
      <c r="B6" s="1" t="s">
        <v>2</v>
      </c>
      <c r="C6" s="1">
        <v>30</v>
      </c>
      <c r="D6" s="1">
        <f>C6/$C$6</f>
        <v>1</v>
      </c>
      <c r="E6" s="1">
        <f>F6-1</f>
        <v>0</v>
      </c>
      <c r="F6" s="1">
        <f>1/D6</f>
        <v>1</v>
      </c>
      <c r="G6" s="1"/>
      <c r="H6" s="1" t="s">
        <v>2</v>
      </c>
      <c r="I6" s="1">
        <v>30</v>
      </c>
      <c r="J6" s="1">
        <f>I6/$I$6</f>
        <v>1</v>
      </c>
      <c r="K6" s="1">
        <f>L6-1</f>
        <v>0</v>
      </c>
      <c r="L6" s="1">
        <f>1/J6</f>
        <v>1</v>
      </c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>
      <c r="A7" s="1"/>
      <c r="B7" s="1" t="s">
        <v>0</v>
      </c>
      <c r="C7" s="1">
        <f>C6</f>
        <v>30</v>
      </c>
      <c r="D7" s="1">
        <f t="shared" ref="D7:D16" si="0">C7/$C$6</f>
        <v>1</v>
      </c>
      <c r="E7" s="1">
        <f t="shared" ref="E7:E16" si="1">F7-1</f>
        <v>0</v>
      </c>
      <c r="F7" s="1">
        <f t="shared" ref="F7:F16" si="2">1/D7</f>
        <v>1</v>
      </c>
      <c r="G7" s="1"/>
      <c r="H7" s="1" t="s">
        <v>0</v>
      </c>
      <c r="I7" s="1">
        <f>I6</f>
        <v>30</v>
      </c>
      <c r="J7" s="1">
        <f t="shared" ref="J7:J19" si="3">I7/$I$6</f>
        <v>1</v>
      </c>
      <c r="K7" s="1">
        <f t="shared" ref="K7" si="4">L7-1</f>
        <v>0</v>
      </c>
      <c r="L7" s="1">
        <f>1/J7</f>
        <v>1</v>
      </c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>
      <c r="A8" s="1"/>
      <c r="B8" s="1" t="s">
        <v>7</v>
      </c>
      <c r="C8" s="1">
        <v>30</v>
      </c>
      <c r="D8" s="1">
        <f t="shared" si="0"/>
        <v>1</v>
      </c>
      <c r="E8" s="1">
        <f t="shared" si="1"/>
        <v>0</v>
      </c>
      <c r="F8" s="1">
        <f t="shared" si="2"/>
        <v>1</v>
      </c>
      <c r="G8" s="1"/>
      <c r="H8" s="1" t="s">
        <v>1</v>
      </c>
      <c r="I8" s="1">
        <v>10</v>
      </c>
      <c r="J8" s="1">
        <f t="shared" si="3"/>
        <v>0.33333333333333331</v>
      </c>
      <c r="K8" s="1">
        <f>L8-1</f>
        <v>2</v>
      </c>
      <c r="L8" s="1">
        <f>1/J8</f>
        <v>3</v>
      </c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>
      <c r="A9" s="1"/>
      <c r="B9" s="1"/>
      <c r="C9" s="1"/>
      <c r="D9" s="1"/>
      <c r="E9" s="1"/>
      <c r="F9" s="1"/>
      <c r="G9" s="1"/>
      <c r="H9" s="1" t="s">
        <v>135</v>
      </c>
      <c r="I9" s="1">
        <v>15</v>
      </c>
      <c r="J9" s="1">
        <f t="shared" si="3"/>
        <v>0.5</v>
      </c>
      <c r="K9" s="1">
        <f t="shared" ref="K9:K19" si="5">L9-1</f>
        <v>1</v>
      </c>
      <c r="L9" s="1">
        <f t="shared" ref="L9:L19" si="6">1/J9</f>
        <v>2</v>
      </c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>
      <c r="A10" s="1"/>
      <c r="B10" s="1" t="s">
        <v>135</v>
      </c>
      <c r="C10" s="1">
        <v>15</v>
      </c>
      <c r="D10" s="1">
        <f t="shared" si="0"/>
        <v>0.5</v>
      </c>
      <c r="E10" s="1">
        <f t="shared" si="1"/>
        <v>1</v>
      </c>
      <c r="F10" s="1">
        <f t="shared" si="2"/>
        <v>2</v>
      </c>
      <c r="G10" s="1"/>
      <c r="H10" s="1" t="s">
        <v>11</v>
      </c>
      <c r="I10" s="1">
        <v>15</v>
      </c>
      <c r="J10" s="1">
        <f t="shared" si="3"/>
        <v>0.5</v>
      </c>
      <c r="K10" s="1">
        <f t="shared" si="5"/>
        <v>1</v>
      </c>
      <c r="L10" s="1">
        <f t="shared" si="6"/>
        <v>2</v>
      </c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>
      <c r="A11" s="1"/>
      <c r="B11" s="1" t="s">
        <v>11</v>
      </c>
      <c r="C11" s="1">
        <v>15</v>
      </c>
      <c r="D11" s="1">
        <f t="shared" si="0"/>
        <v>0.5</v>
      </c>
      <c r="E11" s="1">
        <f t="shared" si="1"/>
        <v>1</v>
      </c>
      <c r="F11" s="1">
        <f t="shared" si="2"/>
        <v>2</v>
      </c>
      <c r="G11" s="1"/>
      <c r="H11" s="1" t="s">
        <v>13</v>
      </c>
      <c r="I11" s="1">
        <v>30</v>
      </c>
      <c r="J11" s="1">
        <f t="shared" si="3"/>
        <v>1</v>
      </c>
      <c r="K11" s="1">
        <f t="shared" si="5"/>
        <v>0</v>
      </c>
      <c r="L11" s="1">
        <f t="shared" si="6"/>
        <v>1</v>
      </c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>
      <c r="A12" s="1"/>
      <c r="B12" s="1" t="s">
        <v>13</v>
      </c>
      <c r="C12" s="1">
        <v>30</v>
      </c>
      <c r="D12" s="1">
        <f t="shared" si="0"/>
        <v>1</v>
      </c>
      <c r="E12" s="1">
        <f t="shared" si="1"/>
        <v>0</v>
      </c>
      <c r="F12" s="1">
        <f t="shared" si="2"/>
        <v>1</v>
      </c>
      <c r="G12" s="1"/>
      <c r="H12" s="1" t="s">
        <v>15</v>
      </c>
      <c r="I12" s="1">
        <v>10</v>
      </c>
      <c r="J12" s="1">
        <f t="shared" si="3"/>
        <v>0.33333333333333331</v>
      </c>
      <c r="K12" s="1">
        <f t="shared" si="5"/>
        <v>2</v>
      </c>
      <c r="L12" s="1">
        <f t="shared" si="6"/>
        <v>3</v>
      </c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>
      <c r="A13" s="1"/>
      <c r="B13" s="1" t="s">
        <v>16</v>
      </c>
      <c r="C13" s="1">
        <v>30</v>
      </c>
      <c r="D13" s="1">
        <f t="shared" si="0"/>
        <v>1</v>
      </c>
      <c r="E13" s="1">
        <f t="shared" si="1"/>
        <v>0</v>
      </c>
      <c r="F13" s="1">
        <f t="shared" si="2"/>
        <v>1</v>
      </c>
      <c r="G13" s="1"/>
      <c r="H13" s="1" t="s">
        <v>14</v>
      </c>
      <c r="I13" s="1">
        <v>30</v>
      </c>
      <c r="J13" s="1">
        <f t="shared" si="3"/>
        <v>1</v>
      </c>
      <c r="K13" s="1">
        <f t="shared" si="5"/>
        <v>0</v>
      </c>
      <c r="L13" s="1">
        <f t="shared" si="6"/>
        <v>1</v>
      </c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>
      <c r="A14" s="1"/>
      <c r="B14" s="1" t="s">
        <v>17</v>
      </c>
      <c r="C14" s="1">
        <f>C6</f>
        <v>30</v>
      </c>
      <c r="D14" s="1">
        <f t="shared" si="0"/>
        <v>1</v>
      </c>
      <c r="E14" s="1">
        <f t="shared" si="1"/>
        <v>0</v>
      </c>
      <c r="F14" s="1">
        <f t="shared" si="2"/>
        <v>1</v>
      </c>
      <c r="G14" s="1"/>
      <c r="H14" s="1" t="s">
        <v>16</v>
      </c>
      <c r="I14" s="1">
        <f>I6</f>
        <v>30</v>
      </c>
      <c r="J14" s="1">
        <f t="shared" si="3"/>
        <v>1</v>
      </c>
      <c r="K14" s="1">
        <f t="shared" si="5"/>
        <v>0</v>
      </c>
      <c r="L14" s="1">
        <f t="shared" si="6"/>
        <v>1</v>
      </c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>
      <c r="A15" s="1"/>
      <c r="B15" s="1" t="s">
        <v>11</v>
      </c>
      <c r="C15" s="1">
        <v>15</v>
      </c>
      <c r="D15" s="1">
        <f>C15/$C$6</f>
        <v>0.5</v>
      </c>
      <c r="E15" s="1">
        <f t="shared" si="1"/>
        <v>1</v>
      </c>
      <c r="F15" s="1">
        <f t="shared" si="2"/>
        <v>2</v>
      </c>
      <c r="G15" s="1"/>
      <c r="H15" s="1" t="s">
        <v>11</v>
      </c>
      <c r="I15" s="1">
        <v>15</v>
      </c>
      <c r="J15" s="1">
        <f t="shared" si="3"/>
        <v>0.5</v>
      </c>
      <c r="K15" s="1">
        <f t="shared" si="5"/>
        <v>1</v>
      </c>
      <c r="L15" s="1">
        <f t="shared" si="6"/>
        <v>2</v>
      </c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>
      <c r="A16" s="1"/>
      <c r="B16" s="1" t="s">
        <v>136</v>
      </c>
      <c r="C16" s="1">
        <v>25</v>
      </c>
      <c r="D16" s="1">
        <f t="shared" si="0"/>
        <v>0.83333333333333337</v>
      </c>
      <c r="E16" s="1">
        <f t="shared" si="1"/>
        <v>0.19999999999999996</v>
      </c>
      <c r="F16" s="1">
        <f t="shared" si="2"/>
        <v>1.2</v>
      </c>
      <c r="G16" s="1"/>
      <c r="H16" s="1" t="s">
        <v>136</v>
      </c>
      <c r="I16" s="1">
        <v>25</v>
      </c>
      <c r="J16" s="1">
        <f t="shared" si="3"/>
        <v>0.83333333333333337</v>
      </c>
      <c r="K16" s="1">
        <f t="shared" si="5"/>
        <v>0.19999999999999996</v>
      </c>
      <c r="L16" s="1">
        <f t="shared" si="6"/>
        <v>1.2</v>
      </c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2">
      <c r="A17" s="1"/>
      <c r="B17" s="1"/>
      <c r="C17" s="1"/>
      <c r="D17" s="1"/>
      <c r="E17" s="1"/>
      <c r="F17" s="1"/>
      <c r="G17" s="1"/>
      <c r="H17" s="1" t="s">
        <v>137</v>
      </c>
      <c r="I17" s="1">
        <v>10</v>
      </c>
      <c r="J17" s="1">
        <f t="shared" si="3"/>
        <v>0.33333333333333331</v>
      </c>
      <c r="K17" s="1">
        <f t="shared" si="5"/>
        <v>2</v>
      </c>
      <c r="L17" s="1">
        <f t="shared" si="6"/>
        <v>3</v>
      </c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>
      <c r="A18" s="1"/>
      <c r="B18" s="1" t="s">
        <v>219</v>
      </c>
      <c r="C18" s="1">
        <v>15</v>
      </c>
      <c r="D18" s="1">
        <f>C18/C6</f>
        <v>0.5</v>
      </c>
      <c r="E18" s="1">
        <f>F18-1</f>
        <v>1</v>
      </c>
      <c r="F18" s="1">
        <f>1/D18</f>
        <v>2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>
      <c r="A19" s="1"/>
      <c r="B19" s="1"/>
      <c r="C19" s="1"/>
      <c r="D19" s="1"/>
      <c r="E19" s="1"/>
      <c r="F19" s="1"/>
      <c r="G19" s="1"/>
      <c r="H19" s="1" t="s">
        <v>219</v>
      </c>
      <c r="I19" s="1">
        <v>15</v>
      </c>
      <c r="J19" s="1">
        <f t="shared" si="3"/>
        <v>0.5</v>
      </c>
      <c r="K19" s="1">
        <f t="shared" si="5"/>
        <v>1</v>
      </c>
      <c r="L19" s="1">
        <f t="shared" si="6"/>
        <v>2</v>
      </c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>
      <c r="A35" s="1"/>
      <c r="B35" s="16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>
      <c r="A36" s="1"/>
      <c r="B36" s="16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>
      <c r="A37" s="1"/>
      <c r="B37" s="16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1:2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1:2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1:2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2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 spans="1:2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1:2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</row>
    <row r="60" spans="1:2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</row>
  </sheetData>
  <mergeCells count="2">
    <mergeCell ref="B4:F4"/>
    <mergeCell ref="H4:L4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12C3E1-1717-174D-BA00-EBFC25B36BE9}">
  <dimension ref="A1:Z63"/>
  <sheetViews>
    <sheetView workbookViewId="0">
      <selection activeCell="J50" sqref="J50"/>
    </sheetView>
  </sheetViews>
  <sheetFormatPr baseColWidth="10" defaultRowHeight="16"/>
  <cols>
    <col min="2" max="2" width="26.1640625" bestFit="1" customWidth="1"/>
    <col min="3" max="3" width="19" bestFit="1" customWidth="1"/>
    <col min="4" max="4" width="17.1640625" bestFit="1" customWidth="1"/>
    <col min="5" max="5" width="20.83203125" bestFit="1" customWidth="1"/>
    <col min="6" max="6" width="19" bestFit="1" customWidth="1"/>
    <col min="7" max="7" width="28" bestFit="1" customWidth="1"/>
    <col min="8" max="8" width="19" bestFit="1" customWidth="1"/>
    <col min="9" max="9" width="17.1640625" bestFit="1" customWidth="1"/>
    <col min="10" max="10" width="20.83203125" bestFit="1" customWidth="1"/>
    <col min="11" max="11" width="19" bestFit="1" customWidth="1"/>
  </cols>
  <sheetData>
    <row r="1" spans="1:2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"/>
      <c r="B3" s="22" t="s">
        <v>236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"/>
      <c r="B4" s="4" t="s">
        <v>167</v>
      </c>
      <c r="C4" s="1" t="s">
        <v>171</v>
      </c>
      <c r="D4" s="1" t="s">
        <v>172</v>
      </c>
      <c r="E4" s="1" t="s">
        <v>169</v>
      </c>
      <c r="F4" s="1" t="s">
        <v>170</v>
      </c>
      <c r="G4" s="4" t="s">
        <v>168</v>
      </c>
      <c r="H4" s="1" t="s">
        <v>171</v>
      </c>
      <c r="I4" s="1" t="s">
        <v>172</v>
      </c>
      <c r="J4" s="1" t="s">
        <v>169</v>
      </c>
      <c r="K4" s="1" t="s">
        <v>170</v>
      </c>
      <c r="L4" s="4" t="s">
        <v>59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"/>
      <c r="B5" s="1" t="s">
        <v>148</v>
      </c>
      <c r="C5" s="1">
        <v>179</v>
      </c>
      <c r="D5" s="1">
        <f>C5/$C$18</f>
        <v>1.2139461387696419E-3</v>
      </c>
      <c r="E5" s="1">
        <f>D5*$C$23</f>
        <v>156.5553498402881</v>
      </c>
      <c r="F5" s="1">
        <f>E5/$C$22</f>
        <v>1.1402096795453016E-3</v>
      </c>
      <c r="G5" s="1" t="s">
        <v>148</v>
      </c>
      <c r="H5" s="1">
        <v>768156</v>
      </c>
      <c r="I5" s="1">
        <f>H5/$H$18</f>
        <v>0.20763127848944324</v>
      </c>
      <c r="J5" s="1">
        <f>I5*$C$19</f>
        <v>1731.6448626019567</v>
      </c>
      <c r="K5" s="1">
        <f>J5/$C$22</f>
        <v>1.2611758307128391E-2</v>
      </c>
      <c r="L5" s="1">
        <f>F5+K5</f>
        <v>1.3751967986673693E-2</v>
      </c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"/>
      <c r="B6" s="1" t="s">
        <v>149</v>
      </c>
      <c r="C6" s="1">
        <v>28</v>
      </c>
      <c r="D6" s="1">
        <f t="shared" ref="D6:D17" si="0">C6/$C$18</f>
        <v>1.8989101612039091E-4</v>
      </c>
      <c r="E6" s="1">
        <f t="shared" ref="E6:E16" si="1">D6*$C$23</f>
        <v>24.489105002950094</v>
      </c>
      <c r="F6" s="1">
        <f t="shared" ref="F6:F17" si="2">E6/$C$22</f>
        <v>1.7835682138138797E-4</v>
      </c>
      <c r="G6" s="1" t="s">
        <v>149</v>
      </c>
      <c r="H6" s="1">
        <v>55920</v>
      </c>
      <c r="I6" s="1">
        <f t="shared" ref="I6:I17" si="3">H6/$H$18</f>
        <v>1.511508221393788E-2</v>
      </c>
      <c r="J6" s="1">
        <f t="shared" ref="J6:J17" si="4">I6*$C$19</f>
        <v>126.05978566424191</v>
      </c>
      <c r="K6" s="1">
        <f t="shared" ref="K6:K17" si="5">J6/$C$22</f>
        <v>9.1810716122066305E-4</v>
      </c>
      <c r="L6" s="1">
        <f t="shared" ref="L6:L17" si="6">F6+K6</f>
        <v>1.0964639826020509E-3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"/>
      <c r="B7" s="1" t="s">
        <v>150</v>
      </c>
      <c r="C7" s="1">
        <v>2603</v>
      </c>
      <c r="D7" s="1">
        <f t="shared" si="0"/>
        <v>1.7653082677192053E-2</v>
      </c>
      <c r="E7" s="1">
        <f t="shared" si="1"/>
        <v>2276.6121543813961</v>
      </c>
      <c r="F7" s="1">
        <f t="shared" si="2"/>
        <v>1.6580814501991174E-2</v>
      </c>
      <c r="G7" s="1" t="s">
        <v>150</v>
      </c>
      <c r="H7" s="1">
        <v>760090</v>
      </c>
      <c r="I7" s="1">
        <f t="shared" si="3"/>
        <v>0.20545105221731119</v>
      </c>
      <c r="J7" s="1">
        <f t="shared" si="4"/>
        <v>1713.4617754923754</v>
      </c>
      <c r="K7" s="1">
        <f t="shared" si="5"/>
        <v>1.2479328901505968E-2</v>
      </c>
      <c r="L7" s="1">
        <f t="shared" si="6"/>
        <v>2.9060143403497142E-2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1"/>
      <c r="B8" s="1" t="s">
        <v>151</v>
      </c>
      <c r="C8" s="1">
        <v>27</v>
      </c>
      <c r="D8" s="1">
        <f t="shared" si="0"/>
        <v>1.8310919411609124E-4</v>
      </c>
      <c r="E8" s="1">
        <f t="shared" si="1"/>
        <v>23.614494109987589</v>
      </c>
      <c r="F8" s="1">
        <f t="shared" si="2"/>
        <v>1.7198693490348124E-4</v>
      </c>
      <c r="G8" s="1" t="s">
        <v>151</v>
      </c>
      <c r="H8" s="1">
        <v>164371</v>
      </c>
      <c r="I8" s="1">
        <f t="shared" si="3"/>
        <v>4.4429205625664936E-2</v>
      </c>
      <c r="J8" s="1">
        <f t="shared" si="4"/>
        <v>370.53957491804556</v>
      </c>
      <c r="K8" s="1">
        <f t="shared" si="5"/>
        <v>2.6986801179721318E-3</v>
      </c>
      <c r="L8" s="1">
        <f t="shared" si="6"/>
        <v>2.8706670528756131E-3</v>
      </c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"/>
      <c r="B9" s="1" t="s">
        <v>160</v>
      </c>
      <c r="C9" s="1">
        <v>359</v>
      </c>
      <c r="D9" s="1">
        <f t="shared" si="0"/>
        <v>2.4346740995435834E-3</v>
      </c>
      <c r="E9" s="1">
        <f t="shared" si="1"/>
        <v>313.9853105735387</v>
      </c>
      <c r="F9" s="1">
        <f t="shared" si="2"/>
        <v>2.28678924556851E-3</v>
      </c>
      <c r="G9" s="1" t="s">
        <v>160</v>
      </c>
      <c r="H9" s="1">
        <v>50479</v>
      </c>
      <c r="I9" s="1">
        <f t="shared" si="3"/>
        <v>1.3644389039294888E-2</v>
      </c>
      <c r="J9" s="1">
        <f t="shared" si="4"/>
        <v>113.79420458771936</v>
      </c>
      <c r="K9" s="1">
        <f t="shared" si="5"/>
        <v>8.2877559712549794E-4</v>
      </c>
      <c r="L9" s="1">
        <f t="shared" si="6"/>
        <v>3.1155648426940078E-3</v>
      </c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"/>
      <c r="B10" s="1" t="s">
        <v>152</v>
      </c>
      <c r="C10" s="1">
        <v>0</v>
      </c>
      <c r="D10" s="1">
        <f t="shared" si="0"/>
        <v>0</v>
      </c>
      <c r="E10" s="1">
        <f t="shared" si="1"/>
        <v>0</v>
      </c>
      <c r="F10" s="1">
        <f t="shared" si="2"/>
        <v>0</v>
      </c>
      <c r="G10" s="1" t="s">
        <v>152</v>
      </c>
      <c r="H10" s="1">
        <v>823041</v>
      </c>
      <c r="I10" s="1">
        <f t="shared" si="3"/>
        <v>0.22246660193922829</v>
      </c>
      <c r="J10" s="1">
        <f t="shared" si="4"/>
        <v>1855.371460173164</v>
      </c>
      <c r="K10" s="1">
        <f t="shared" si="5"/>
        <v>1.3512872605118307E-2</v>
      </c>
      <c r="L10" s="1">
        <f t="shared" si="6"/>
        <v>1.3512872605118307E-2</v>
      </c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1"/>
      <c r="B11" s="1" t="s">
        <v>153</v>
      </c>
      <c r="C11" s="1">
        <v>140105</v>
      </c>
      <c r="D11" s="1">
        <f t="shared" si="0"/>
        <v>0.95016717191240596</v>
      </c>
      <c r="E11" s="1">
        <f t="shared" si="1"/>
        <v>122537.35915851152</v>
      </c>
      <c r="F11" s="1">
        <f t="shared" si="2"/>
        <v>0.89245294498712002</v>
      </c>
      <c r="G11" s="1" t="s">
        <v>153</v>
      </c>
      <c r="H11" s="1">
        <v>559762</v>
      </c>
      <c r="I11" s="1">
        <f t="shared" si="3"/>
        <v>0.15130272979682216</v>
      </c>
      <c r="J11" s="1">
        <f t="shared" si="4"/>
        <v>1261.8647665054968</v>
      </c>
      <c r="K11" s="1">
        <f t="shared" si="5"/>
        <v>9.1902986548497989E-3</v>
      </c>
      <c r="L11" s="1">
        <f t="shared" si="6"/>
        <v>0.90164324364196979</v>
      </c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1"/>
      <c r="B12" s="1" t="s">
        <v>154</v>
      </c>
      <c r="C12" s="1">
        <v>0</v>
      </c>
      <c r="D12" s="1">
        <f t="shared" si="0"/>
        <v>0</v>
      </c>
      <c r="E12" s="1">
        <f t="shared" si="1"/>
        <v>0</v>
      </c>
      <c r="F12" s="1">
        <f t="shared" si="2"/>
        <v>0</v>
      </c>
      <c r="G12" s="1" t="s">
        <v>154</v>
      </c>
      <c r="H12" s="1">
        <v>18012</v>
      </c>
      <c r="I12" s="1">
        <f t="shared" si="3"/>
        <v>4.8686133912276301E-3</v>
      </c>
      <c r="J12" s="1">
        <f t="shared" si="4"/>
        <v>40.604235682838436</v>
      </c>
      <c r="K12" s="1">
        <f t="shared" si="5"/>
        <v>2.9572507489103331E-4</v>
      </c>
      <c r="L12" s="1">
        <f t="shared" si="6"/>
        <v>2.9572507489103331E-4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1"/>
      <c r="B13" s="1" t="s">
        <v>155</v>
      </c>
      <c r="C13" s="1">
        <v>0</v>
      </c>
      <c r="D13" s="1">
        <f t="shared" si="0"/>
        <v>0</v>
      </c>
      <c r="E13" s="1">
        <f t="shared" si="1"/>
        <v>0</v>
      </c>
      <c r="F13" s="1">
        <f t="shared" si="2"/>
        <v>0</v>
      </c>
      <c r="G13" s="1" t="s">
        <v>155</v>
      </c>
      <c r="H13" s="1">
        <v>114417</v>
      </c>
      <c r="I13" s="1">
        <f t="shared" si="3"/>
        <v>3.0926723205867854E-2</v>
      </c>
      <c r="J13" s="1">
        <f t="shared" si="4"/>
        <v>257.92887153693789</v>
      </c>
      <c r="K13" s="1">
        <f t="shared" si="5"/>
        <v>1.8785240891520851E-3</v>
      </c>
      <c r="L13" s="1">
        <f t="shared" si="6"/>
        <v>1.8785240891520851E-3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1"/>
      <c r="B14" s="1" t="s">
        <v>156</v>
      </c>
      <c r="C14" s="1">
        <v>0</v>
      </c>
      <c r="D14" s="1">
        <f t="shared" si="0"/>
        <v>0</v>
      </c>
      <c r="E14" s="1">
        <f t="shared" si="1"/>
        <v>0</v>
      </c>
      <c r="F14" s="1">
        <f t="shared" si="2"/>
        <v>0</v>
      </c>
      <c r="G14" s="1" t="s">
        <v>156</v>
      </c>
      <c r="H14" s="1">
        <v>5883</v>
      </c>
      <c r="I14" s="1">
        <f t="shared" si="3"/>
        <v>1.5901650333440011E-3</v>
      </c>
      <c r="J14" s="1">
        <f t="shared" si="4"/>
        <v>13.261976378088969</v>
      </c>
      <c r="K14" s="1">
        <f t="shared" si="5"/>
        <v>9.6588419697087987E-5</v>
      </c>
      <c r="L14" s="1">
        <f t="shared" si="6"/>
        <v>9.6588419697087987E-5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1"/>
      <c r="B15" s="1" t="s">
        <v>157</v>
      </c>
      <c r="C15" s="1">
        <v>3876</v>
      </c>
      <c r="D15" s="1">
        <f t="shared" si="0"/>
        <v>2.6286342088665541E-2</v>
      </c>
      <c r="E15" s="1">
        <f t="shared" si="1"/>
        <v>3389.9918211226627</v>
      </c>
      <c r="F15" s="1">
        <f t="shared" si="2"/>
        <v>2.4689679988366419E-2</v>
      </c>
      <c r="G15" s="1" t="s">
        <v>157</v>
      </c>
      <c r="H15" s="1">
        <v>372982</v>
      </c>
      <c r="I15" s="1">
        <f t="shared" si="3"/>
        <v>0.10081640905434509</v>
      </c>
      <c r="J15" s="1">
        <f t="shared" si="4"/>
        <v>840.8088515132381</v>
      </c>
      <c r="K15" s="1">
        <f t="shared" si="5"/>
        <v>6.1237025251503095E-3</v>
      </c>
      <c r="L15" s="1">
        <f t="shared" si="6"/>
        <v>3.0813382513516729E-2</v>
      </c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1"/>
      <c r="B16" s="1" t="s">
        <v>158</v>
      </c>
      <c r="C16" s="1">
        <v>0</v>
      </c>
      <c r="D16" s="1">
        <f t="shared" si="0"/>
        <v>0</v>
      </c>
      <c r="E16" s="1">
        <f t="shared" si="1"/>
        <v>0</v>
      </c>
      <c r="F16" s="1">
        <f t="shared" si="2"/>
        <v>0</v>
      </c>
      <c r="G16" s="1" t="s">
        <v>158</v>
      </c>
      <c r="H16" s="1">
        <v>526</v>
      </c>
      <c r="I16" s="1">
        <f t="shared" si="3"/>
        <v>1.4217691782066031E-4</v>
      </c>
      <c r="J16" s="1">
        <f t="shared" si="4"/>
        <v>1.185755494624307</v>
      </c>
      <c r="K16" s="1">
        <f t="shared" si="5"/>
        <v>8.6359865307952208E-6</v>
      </c>
      <c r="L16" s="1">
        <f t="shared" si="6"/>
        <v>8.6359865307952208E-6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1"/>
      <c r="B17" s="1" t="s">
        <v>159</v>
      </c>
      <c r="C17" s="1">
        <v>276</v>
      </c>
      <c r="D17" s="1">
        <f t="shared" si="0"/>
        <v>1.8717828731867104E-3</v>
      </c>
      <c r="E17" s="1">
        <f>D17*$C$23</f>
        <v>241.39260645765091</v>
      </c>
      <c r="F17" s="1">
        <f t="shared" si="2"/>
        <v>1.7580886679022527E-3</v>
      </c>
      <c r="G17" s="1" t="s">
        <v>159</v>
      </c>
      <c r="H17" s="1">
        <v>5977</v>
      </c>
      <c r="I17" s="1">
        <f t="shared" si="3"/>
        <v>1.6155730756921799E-3</v>
      </c>
      <c r="J17" s="1">
        <f t="shared" si="4"/>
        <v>13.473879451272779</v>
      </c>
      <c r="K17" s="1">
        <f t="shared" si="5"/>
        <v>9.8131732879397387E-5</v>
      </c>
      <c r="L17" s="1">
        <f t="shared" si="6"/>
        <v>1.8562204007816501E-3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"/>
      <c r="B18" s="1" t="s">
        <v>161</v>
      </c>
      <c r="C18" s="1">
        <f>SUM(C5:C17)</f>
        <v>147453</v>
      </c>
      <c r="D18" s="1">
        <f>SUM(D5:D17)</f>
        <v>0.99999999999999989</v>
      </c>
      <c r="E18" s="1">
        <f>SUM(E5:E17)</f>
        <v>128964</v>
      </c>
      <c r="F18" s="1">
        <f>SUM(F5:F17)</f>
        <v>0.93925887082677861</v>
      </c>
      <c r="G18" s="1" t="s">
        <v>161</v>
      </c>
      <c r="H18" s="1">
        <f>SUM(H5:H17)</f>
        <v>3699616</v>
      </c>
      <c r="I18" s="1">
        <f>SUM(I5:I17)</f>
        <v>1</v>
      </c>
      <c r="J18" s="1">
        <f>SUM(J5:J17)</f>
        <v>8339.9999999999982</v>
      </c>
      <c r="K18" s="1">
        <f>SUM(K5:K17)</f>
        <v>6.074112917322147E-2</v>
      </c>
      <c r="L18" s="1">
        <f>SUM(L5:L17)</f>
        <v>1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1"/>
      <c r="B19" s="1" t="s">
        <v>162</v>
      </c>
      <c r="C19" s="1">
        <v>8340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1"/>
      <c r="B20" s="1" t="s">
        <v>163</v>
      </c>
      <c r="C20" s="1">
        <v>18489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1"/>
      <c r="B21" s="1" t="s">
        <v>164</v>
      </c>
      <c r="C21" s="1">
        <f>C18+C19-C20</f>
        <v>137304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1"/>
      <c r="B22" s="1" t="s">
        <v>165</v>
      </c>
      <c r="C22" s="1">
        <v>137304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1"/>
      <c r="B23" s="1" t="s">
        <v>166</v>
      </c>
      <c r="C23" s="1">
        <f>C18-C20</f>
        <v>128964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1"/>
      <c r="B26" s="22" t="s">
        <v>237</v>
      </c>
      <c r="C26" s="22"/>
      <c r="D26" s="22"/>
      <c r="E26" s="1"/>
      <c r="F26" s="22" t="s">
        <v>238</v>
      </c>
      <c r="G26" s="22"/>
      <c r="H26" s="22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1"/>
      <c r="B27" s="4" t="s">
        <v>168</v>
      </c>
      <c r="C27" s="1" t="s">
        <v>171</v>
      </c>
      <c r="D27" s="1" t="s">
        <v>172</v>
      </c>
      <c r="E27" s="1"/>
      <c r="F27" s="4" t="s">
        <v>167</v>
      </c>
      <c r="G27" s="1" t="s">
        <v>171</v>
      </c>
      <c r="H27" s="1" t="s">
        <v>172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1"/>
      <c r="B28" s="1" t="s">
        <v>148</v>
      </c>
      <c r="C28" s="1">
        <v>768156</v>
      </c>
      <c r="D28" s="1">
        <f>C28/$H$18</f>
        <v>0.20763127848944324</v>
      </c>
      <c r="E28" s="1"/>
      <c r="F28" s="1" t="s">
        <v>148</v>
      </c>
      <c r="G28" s="1">
        <v>179</v>
      </c>
      <c r="H28" s="1">
        <f>G28/$C$18</f>
        <v>1.2139461387696419E-3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1"/>
      <c r="B29" s="1" t="s">
        <v>149</v>
      </c>
      <c r="C29" s="1">
        <v>55920</v>
      </c>
      <c r="D29" s="1">
        <f>C29/$H$18</f>
        <v>1.511508221393788E-2</v>
      </c>
      <c r="E29" s="1"/>
      <c r="F29" s="1" t="s">
        <v>149</v>
      </c>
      <c r="G29" s="1">
        <v>28</v>
      </c>
      <c r="H29" s="1">
        <f t="shared" ref="H29:H40" si="7">G29/$C$18</f>
        <v>1.8989101612039091E-4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1"/>
      <c r="B30" s="1" t="s">
        <v>150</v>
      </c>
      <c r="C30" s="1">
        <v>760090</v>
      </c>
      <c r="D30" s="1">
        <f t="shared" ref="D30:D40" si="8">C30/$H$18</f>
        <v>0.20545105221731119</v>
      </c>
      <c r="E30" s="1"/>
      <c r="F30" s="1" t="s">
        <v>150</v>
      </c>
      <c r="G30" s="1">
        <v>2603</v>
      </c>
      <c r="H30" s="1">
        <f t="shared" si="7"/>
        <v>1.7653082677192053E-2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1"/>
      <c r="B31" s="1" t="s">
        <v>151</v>
      </c>
      <c r="C31" s="1">
        <v>164371</v>
      </c>
      <c r="D31" s="1">
        <f t="shared" si="8"/>
        <v>4.4429205625664936E-2</v>
      </c>
      <c r="E31" s="1"/>
      <c r="F31" s="1" t="s">
        <v>151</v>
      </c>
      <c r="G31" s="1">
        <v>27</v>
      </c>
      <c r="H31" s="1">
        <f t="shared" si="7"/>
        <v>1.8310919411609124E-4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1"/>
      <c r="B32" s="1" t="s">
        <v>160</v>
      </c>
      <c r="C32" s="1">
        <v>50479</v>
      </c>
      <c r="D32" s="1">
        <f t="shared" si="8"/>
        <v>1.3644389039294888E-2</v>
      </c>
      <c r="E32" s="1"/>
      <c r="F32" s="1" t="s">
        <v>160</v>
      </c>
      <c r="G32" s="1">
        <v>359</v>
      </c>
      <c r="H32" s="1">
        <f t="shared" si="7"/>
        <v>2.4346740995435834E-3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1"/>
      <c r="B33" s="1" t="s">
        <v>152</v>
      </c>
      <c r="C33" s="1">
        <v>823041</v>
      </c>
      <c r="D33" s="1">
        <f t="shared" si="8"/>
        <v>0.22246660193922829</v>
      </c>
      <c r="E33" s="1"/>
      <c r="F33" s="1" t="s">
        <v>152</v>
      </c>
      <c r="G33" s="1">
        <v>0</v>
      </c>
      <c r="H33" s="1">
        <f t="shared" si="7"/>
        <v>0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1"/>
      <c r="B34" s="1" t="s">
        <v>153</v>
      </c>
      <c r="C34" s="1">
        <v>559762</v>
      </c>
      <c r="D34" s="1">
        <f t="shared" si="8"/>
        <v>0.15130272979682216</v>
      </c>
      <c r="E34" s="1"/>
      <c r="F34" s="1" t="s">
        <v>153</v>
      </c>
      <c r="G34" s="1">
        <v>140105</v>
      </c>
      <c r="H34" s="1">
        <f t="shared" si="7"/>
        <v>0.95016717191240596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1"/>
      <c r="B35" s="1" t="s">
        <v>154</v>
      </c>
      <c r="C35" s="1">
        <v>18012</v>
      </c>
      <c r="D35" s="1">
        <f t="shared" si="8"/>
        <v>4.8686133912276301E-3</v>
      </c>
      <c r="E35" s="1"/>
      <c r="F35" s="1" t="s">
        <v>154</v>
      </c>
      <c r="G35" s="1">
        <v>0</v>
      </c>
      <c r="H35" s="1">
        <f t="shared" si="7"/>
        <v>0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1"/>
      <c r="B36" s="1" t="s">
        <v>155</v>
      </c>
      <c r="C36" s="1">
        <v>114417</v>
      </c>
      <c r="D36" s="1">
        <f t="shared" si="8"/>
        <v>3.0926723205867854E-2</v>
      </c>
      <c r="E36" s="1"/>
      <c r="F36" s="1" t="s">
        <v>155</v>
      </c>
      <c r="G36" s="1">
        <v>0</v>
      </c>
      <c r="H36" s="1">
        <f t="shared" si="7"/>
        <v>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1"/>
      <c r="B37" s="1" t="s">
        <v>156</v>
      </c>
      <c r="C37" s="1">
        <v>5883</v>
      </c>
      <c r="D37" s="1">
        <f t="shared" si="8"/>
        <v>1.5901650333440011E-3</v>
      </c>
      <c r="E37" s="1"/>
      <c r="F37" s="1" t="s">
        <v>156</v>
      </c>
      <c r="G37" s="1">
        <v>0</v>
      </c>
      <c r="H37" s="1">
        <f t="shared" si="7"/>
        <v>0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1"/>
      <c r="B38" s="1" t="s">
        <v>157</v>
      </c>
      <c r="C38" s="1">
        <v>372982</v>
      </c>
      <c r="D38" s="1">
        <f t="shared" si="8"/>
        <v>0.10081640905434509</v>
      </c>
      <c r="E38" s="1"/>
      <c r="F38" s="1" t="s">
        <v>157</v>
      </c>
      <c r="G38" s="1">
        <v>3876</v>
      </c>
      <c r="H38" s="1">
        <f t="shared" si="7"/>
        <v>2.6286342088665541E-2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>
      <c r="A39" s="1"/>
      <c r="B39" s="1" t="s">
        <v>158</v>
      </c>
      <c r="C39" s="1">
        <v>526</v>
      </c>
      <c r="D39" s="1">
        <f t="shared" si="8"/>
        <v>1.4217691782066031E-4</v>
      </c>
      <c r="E39" s="1"/>
      <c r="F39" s="1" t="s">
        <v>158</v>
      </c>
      <c r="G39" s="1">
        <v>0</v>
      </c>
      <c r="H39" s="1">
        <f t="shared" si="7"/>
        <v>0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>
      <c r="A40" s="1"/>
      <c r="B40" s="1" t="s">
        <v>159</v>
      </c>
      <c r="C40" s="1">
        <v>5977</v>
      </c>
      <c r="D40" s="1">
        <f t="shared" si="8"/>
        <v>1.6155730756921799E-3</v>
      </c>
      <c r="E40" s="1"/>
      <c r="F40" s="1" t="s">
        <v>159</v>
      </c>
      <c r="G40" s="1">
        <v>276</v>
      </c>
      <c r="H40" s="1">
        <f t="shared" si="7"/>
        <v>1.8717828731867104E-3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1"/>
      <c r="B41" s="1" t="s">
        <v>161</v>
      </c>
      <c r="C41" s="1">
        <f>SUM(C28:C40)</f>
        <v>3699616</v>
      </c>
      <c r="D41" s="1">
        <f>SUM(D28:D40)</f>
        <v>1</v>
      </c>
      <c r="E41" s="1"/>
      <c r="F41" s="1" t="s">
        <v>161</v>
      </c>
      <c r="G41" s="1">
        <f>SUM(G28:G40)</f>
        <v>147453</v>
      </c>
      <c r="H41" s="1">
        <f>SUM(H28:H40)</f>
        <v>0.99999999999999989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>
      <c r="A43" s="1"/>
      <c r="B43" s="22" t="s">
        <v>248</v>
      </c>
      <c r="C43" s="22"/>
      <c r="D43" s="22"/>
      <c r="E43" s="1"/>
      <c r="F43" s="22" t="s">
        <v>264</v>
      </c>
      <c r="G43" s="22"/>
      <c r="H43" s="22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1"/>
      <c r="B44" s="4" t="s">
        <v>247</v>
      </c>
      <c r="C44" s="1" t="s">
        <v>171</v>
      </c>
      <c r="D44" s="1" t="s">
        <v>172</v>
      </c>
      <c r="E44" s="1"/>
      <c r="F44" s="4" t="s">
        <v>263</v>
      </c>
      <c r="G44" s="1" t="s">
        <v>171</v>
      </c>
      <c r="H44" s="1" t="s">
        <v>172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>
      <c r="A45" s="1"/>
      <c r="B45" s="1" t="s">
        <v>239</v>
      </c>
      <c r="C45" s="1">
        <v>10</v>
      </c>
      <c r="D45" s="1">
        <f>C45/$C$54</f>
        <v>2.8360748723766306E-3</v>
      </c>
      <c r="E45" s="1"/>
      <c r="F45" s="1" t="s">
        <v>249</v>
      </c>
      <c r="G45" s="1">
        <v>793.56574067401118</v>
      </c>
      <c r="H45" s="1">
        <f>G45/$G$58</f>
        <v>5.9135709545435058E-3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1"/>
      <c r="B46" s="1" t="s">
        <v>240</v>
      </c>
      <c r="C46" s="1">
        <v>487</v>
      </c>
      <c r="D46" s="1">
        <f t="shared" ref="D46:D47" si="9">C46/$C$54</f>
        <v>0.13811684628474191</v>
      </c>
      <c r="E46" s="1"/>
      <c r="F46" s="1" t="s">
        <v>250</v>
      </c>
      <c r="G46" s="1">
        <v>56.96873005506545</v>
      </c>
      <c r="H46" s="1">
        <f t="shared" ref="H46:H58" si="10">G46/$G$58</f>
        <v>4.2452516546988278E-4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>
      <c r="A47" s="1"/>
      <c r="B47" s="1" t="s">
        <v>58</v>
      </c>
      <c r="C47" s="1">
        <v>16</v>
      </c>
      <c r="D47" s="1">
        <f t="shared" si="9"/>
        <v>4.5377197958026095E-3</v>
      </c>
      <c r="E47" s="1"/>
      <c r="F47" s="1" t="s">
        <v>251</v>
      </c>
      <c r="G47" s="1">
        <v>2355.1405918414189</v>
      </c>
      <c r="H47" s="1">
        <f t="shared" si="10"/>
        <v>1.7550267462341229E-2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>
      <c r="A48" s="1"/>
      <c r="B48" s="1" t="s">
        <v>241</v>
      </c>
      <c r="C48" s="1">
        <v>565</v>
      </c>
      <c r="D48" s="1">
        <f>C48/$C$54</f>
        <v>0.16023823028927964</v>
      </c>
      <c r="E48" s="1"/>
      <c r="F48" s="1" t="s">
        <v>252</v>
      </c>
      <c r="G48" s="1">
        <v>754.45771046405775</v>
      </c>
      <c r="H48" s="1">
        <f t="shared" si="10"/>
        <v>5.6221419024997969E-3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>
      <c r="A49" s="1"/>
      <c r="B49" s="1" t="s">
        <v>242</v>
      </c>
      <c r="C49" s="1">
        <v>298</v>
      </c>
      <c r="D49" s="1">
        <f t="shared" ref="D49:D54" si="11">C49/$C$54</f>
        <v>8.451503119682359E-2</v>
      </c>
      <c r="E49" s="1"/>
      <c r="F49" s="1" t="s">
        <v>253</v>
      </c>
      <c r="G49" s="1">
        <v>626.44258695367682</v>
      </c>
      <c r="H49" s="1">
        <f t="shared" si="10"/>
        <v>4.668186259845275E-3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>
      <c r="A50" s="1"/>
      <c r="B50" s="1" t="s">
        <v>243</v>
      </c>
      <c r="C50" s="1">
        <v>775</v>
      </c>
      <c r="D50" s="1">
        <f t="shared" si="11"/>
        <v>0.21979580260918888</v>
      </c>
      <c r="E50" s="1"/>
      <c r="F50" s="1" t="s">
        <v>254</v>
      </c>
      <c r="G50" s="1">
        <v>1222.1255890410957</v>
      </c>
      <c r="H50" s="1">
        <f t="shared" si="10"/>
        <v>9.1071552307934456E-3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>
      <c r="A51" s="1"/>
      <c r="B51" s="1" t="s">
        <v>244</v>
      </c>
      <c r="C51" s="1">
        <v>380</v>
      </c>
      <c r="D51" s="1">
        <f t="shared" si="11"/>
        <v>0.10777084515031196</v>
      </c>
      <c r="E51" s="1"/>
      <c r="F51" s="1" t="s">
        <v>255</v>
      </c>
      <c r="G51" s="1">
        <v>123837.90383843938</v>
      </c>
      <c r="H51" s="1">
        <f t="shared" si="10"/>
        <v>0.92282742774221926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>
      <c r="A52" s="1"/>
      <c r="B52" s="1" t="s">
        <v>245</v>
      </c>
      <c r="C52" s="1">
        <v>304</v>
      </c>
      <c r="D52" s="1">
        <f t="shared" si="11"/>
        <v>8.621667612024958E-2</v>
      </c>
      <c r="E52" s="1"/>
      <c r="F52" s="1" t="s">
        <v>256</v>
      </c>
      <c r="G52" s="1">
        <v>0</v>
      </c>
      <c r="H52" s="1">
        <f t="shared" si="10"/>
        <v>0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>
      <c r="A53" s="1"/>
      <c r="B53" s="1" t="s">
        <v>246</v>
      </c>
      <c r="C53" s="1">
        <v>692</v>
      </c>
      <c r="D53" s="1">
        <f>C53/$C$54</f>
        <v>0.19625638116846283</v>
      </c>
      <c r="E53" s="1"/>
      <c r="F53" s="1" t="s">
        <v>257</v>
      </c>
      <c r="G53" s="1">
        <v>78.205192636986311</v>
      </c>
      <c r="H53" s="1">
        <f t="shared" si="10"/>
        <v>5.8277711847762423E-4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>
      <c r="A54" s="1"/>
      <c r="B54" s="1" t="s">
        <v>161</v>
      </c>
      <c r="C54" s="1">
        <v>3526</v>
      </c>
      <c r="D54" s="1">
        <f t="shared" si="11"/>
        <v>1</v>
      </c>
      <c r="E54" s="1"/>
      <c r="F54" s="1" t="s">
        <v>258</v>
      </c>
      <c r="G54" s="1">
        <v>0</v>
      </c>
      <c r="H54" s="1">
        <f t="shared" si="10"/>
        <v>0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>
      <c r="A55" s="1"/>
      <c r="B55" s="1"/>
      <c r="C55" s="1"/>
      <c r="D55" s="1"/>
      <c r="E55" s="1"/>
      <c r="F55" s="1" t="s">
        <v>259</v>
      </c>
      <c r="G55" s="1">
        <v>4228.2181132800424</v>
      </c>
      <c r="H55" s="1">
        <f t="shared" si="10"/>
        <v>3.1508250095235571E-2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>
      <c r="A56" s="1"/>
      <c r="B56" s="1"/>
      <c r="C56" s="1"/>
      <c r="D56" s="1"/>
      <c r="E56" s="1"/>
      <c r="F56" s="1" t="s">
        <v>260</v>
      </c>
      <c r="G56" s="1">
        <v>0</v>
      </c>
      <c r="H56" s="1">
        <f t="shared" si="10"/>
        <v>0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>
      <c r="A57" s="1"/>
      <c r="B57" s="1"/>
      <c r="C57" s="1"/>
      <c r="D57" s="1"/>
      <c r="E57" s="1"/>
      <c r="F57" s="1" t="s">
        <v>261</v>
      </c>
      <c r="G57" s="1">
        <v>240.97190661426495</v>
      </c>
      <c r="H57" s="1">
        <f t="shared" si="10"/>
        <v>1.7956980685743399E-3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>
      <c r="A58" s="1"/>
      <c r="B58" s="1"/>
      <c r="C58" s="1"/>
      <c r="D58" s="1"/>
      <c r="E58" s="1"/>
      <c r="F58" s="1" t="s">
        <v>262</v>
      </c>
      <c r="G58" s="1">
        <v>134194</v>
      </c>
      <c r="H58" s="1">
        <f t="shared" si="10"/>
        <v>1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</sheetData>
  <mergeCells count="5">
    <mergeCell ref="B3:L3"/>
    <mergeCell ref="B26:D26"/>
    <mergeCell ref="F26:H26"/>
    <mergeCell ref="B43:D43"/>
    <mergeCell ref="F43:H4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898EEA-417A-A84C-9054-23238EC05AF6}">
  <dimension ref="A1:AC238"/>
  <sheetViews>
    <sheetView topLeftCell="A53" workbookViewId="0">
      <selection activeCell="F61" sqref="F61"/>
    </sheetView>
  </sheetViews>
  <sheetFormatPr baseColWidth="10" defaultRowHeight="16"/>
  <cols>
    <col min="2" max="2" width="35.1640625" bestFit="1" customWidth="1"/>
    <col min="4" max="4" width="57.1640625" bestFit="1" customWidth="1"/>
    <col min="5" max="5" width="20.6640625" bestFit="1" customWidth="1"/>
    <col min="6" max="6" width="12" customWidth="1"/>
    <col min="7" max="7" width="45.33203125" bestFit="1" customWidth="1"/>
    <col min="8" max="8" width="15.6640625" bestFit="1" customWidth="1"/>
    <col min="9" max="9" width="37.5" bestFit="1" customWidth="1"/>
    <col min="10" max="10" width="20.6640625" bestFit="1" customWidth="1"/>
    <col min="11" max="11" width="22.33203125" bestFit="1" customWidth="1"/>
  </cols>
  <sheetData>
    <row r="1" spans="1:2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>
      <c r="A3" s="1"/>
      <c r="B3" s="23" t="s">
        <v>2</v>
      </c>
      <c r="C3" s="23"/>
      <c r="D3" s="12"/>
      <c r="E3" s="13"/>
      <c r="F3" s="1"/>
      <c r="G3" s="23" t="s">
        <v>212</v>
      </c>
      <c r="H3" s="23"/>
      <c r="I3" s="23"/>
      <c r="J3" s="13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>
      <c r="A4" s="1"/>
      <c r="B4" s="5" t="s">
        <v>8</v>
      </c>
      <c r="C4" s="4" t="s">
        <v>18</v>
      </c>
      <c r="D4" s="4" t="s">
        <v>189</v>
      </c>
      <c r="E4" s="4" t="s">
        <v>188</v>
      </c>
      <c r="F4" s="1"/>
      <c r="G4" s="5" t="s">
        <v>8</v>
      </c>
      <c r="H4" s="4" t="s">
        <v>18</v>
      </c>
      <c r="I4" s="4" t="s">
        <v>189</v>
      </c>
      <c r="J4" s="4" t="s">
        <v>188</v>
      </c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>
      <c r="A5" s="1"/>
      <c r="B5" s="1" t="s">
        <v>19</v>
      </c>
      <c r="C5" s="14">
        <f>(97.37+97.68+97.8+97.16+96.74+97.12+97.26+96.47)/(8*100)</f>
        <v>0.97199999999999998</v>
      </c>
      <c r="D5" s="15">
        <f>1-C5</f>
        <v>2.8000000000000025E-2</v>
      </c>
      <c r="E5" s="15" t="s">
        <v>226</v>
      </c>
      <c r="F5" s="1"/>
      <c r="G5" s="1" t="s">
        <v>28</v>
      </c>
      <c r="H5" s="14">
        <f>(99.56+99.6+99.59+99.41)/(4*100)</f>
        <v>0.99539999999999995</v>
      </c>
      <c r="I5" s="14">
        <f>1-H5</f>
        <v>4.6000000000000485E-3</v>
      </c>
      <c r="J5" s="14" t="s">
        <v>226</v>
      </c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>
      <c r="A6" s="1"/>
      <c r="B6" s="1" t="s">
        <v>20</v>
      </c>
      <c r="C6" s="14">
        <f>(99.57+99.61+99.6+99.44)/(4*100)</f>
        <v>0.99554999999999993</v>
      </c>
      <c r="D6" s="15">
        <f t="shared" ref="D6:D11" si="0">1-C6</f>
        <v>4.450000000000065E-3</v>
      </c>
      <c r="E6" s="15" t="s">
        <v>226</v>
      </c>
      <c r="F6" s="1"/>
      <c r="G6" s="1" t="s">
        <v>201</v>
      </c>
      <c r="H6" s="14">
        <f t="shared" ref="H6:H10" si="1">1-I6</f>
        <v>0.99</v>
      </c>
      <c r="I6" s="14">
        <v>0.01</v>
      </c>
      <c r="J6" s="14" t="s">
        <v>227</v>
      </c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>
      <c r="A7" s="1"/>
      <c r="B7" s="1" t="s">
        <v>193</v>
      </c>
      <c r="C7" s="14">
        <f>1-D7</f>
        <v>0.98750000000000004</v>
      </c>
      <c r="D7" s="15">
        <v>1.2500000000000001E-2</v>
      </c>
      <c r="E7" s="15" t="s">
        <v>227</v>
      </c>
      <c r="F7" s="1"/>
      <c r="G7" s="1" t="s">
        <v>200</v>
      </c>
      <c r="H7" s="14">
        <f t="shared" si="1"/>
        <v>0.95</v>
      </c>
      <c r="I7" s="14">
        <v>0.05</v>
      </c>
      <c r="J7" s="14" t="s">
        <v>227</v>
      </c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>
      <c r="A8" s="1"/>
      <c r="B8" s="1" t="s">
        <v>21</v>
      </c>
      <c r="C8" s="14">
        <f>1-D8</f>
        <v>0.98750000000000004</v>
      </c>
      <c r="D8" s="15">
        <v>1.2500000000000001E-2</v>
      </c>
      <c r="E8" s="15" t="s">
        <v>227</v>
      </c>
      <c r="F8" s="1"/>
      <c r="G8" s="1" t="s">
        <v>21</v>
      </c>
      <c r="H8" s="14">
        <f t="shared" si="1"/>
        <v>0.98750000000000004</v>
      </c>
      <c r="I8" s="14">
        <v>1.2500000000000001E-2</v>
      </c>
      <c r="J8" s="14" t="s">
        <v>227</v>
      </c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>
      <c r="A9" s="1"/>
      <c r="B9" s="1" t="s">
        <v>0</v>
      </c>
      <c r="C9" s="14">
        <f>97/100</f>
        <v>0.97</v>
      </c>
      <c r="D9" s="15">
        <f t="shared" si="0"/>
        <v>3.0000000000000027E-2</v>
      </c>
      <c r="E9" s="15" t="s">
        <v>226</v>
      </c>
      <c r="F9" s="1"/>
      <c r="G9" s="1" t="s">
        <v>213</v>
      </c>
      <c r="H9" s="14">
        <v>0.99229000000000001</v>
      </c>
      <c r="I9" s="14">
        <f>1-H9</f>
        <v>7.7099999999999946E-3</v>
      </c>
      <c r="J9" s="14" t="s">
        <v>226</v>
      </c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</row>
    <row r="10" spans="1:29">
      <c r="A10" s="1"/>
      <c r="B10" s="1" t="s">
        <v>199</v>
      </c>
      <c r="C10" s="14">
        <f>1-D10</f>
        <v>0.98750000000000004</v>
      </c>
      <c r="D10" s="15">
        <v>1.2500000000000001E-2</v>
      </c>
      <c r="E10" s="15" t="s">
        <v>227</v>
      </c>
      <c r="F10" s="1"/>
      <c r="G10" s="1" t="s">
        <v>199</v>
      </c>
      <c r="H10" s="14">
        <f t="shared" si="1"/>
        <v>0.98750000000000004</v>
      </c>
      <c r="I10" s="14">
        <v>1.2500000000000001E-2</v>
      </c>
      <c r="J10" s="14" t="s">
        <v>227</v>
      </c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</row>
    <row r="11" spans="1:29">
      <c r="A11" s="1"/>
      <c r="B11" s="1" t="s">
        <v>17</v>
      </c>
      <c r="C11" s="14">
        <f>(94.7+94.8+94.1+94.3+93.8+94.1)/(6*100)</f>
        <v>0.94300000000000006</v>
      </c>
      <c r="D11" s="15">
        <f t="shared" si="0"/>
        <v>5.699999999999994E-2</v>
      </c>
      <c r="E11" s="15" t="s">
        <v>226</v>
      </c>
      <c r="F11" s="1"/>
      <c r="G11" s="1" t="s">
        <v>217</v>
      </c>
      <c r="H11" s="14">
        <v>0.99204000000000003</v>
      </c>
      <c r="I11" s="14">
        <f>1-H11</f>
        <v>7.9599999999999671E-3</v>
      </c>
      <c r="J11" s="14" t="s">
        <v>226</v>
      </c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</row>
    <row r="12" spans="1:29">
      <c r="A12" s="1"/>
      <c r="B12" s="1" t="s">
        <v>7</v>
      </c>
      <c r="C12" s="14"/>
      <c r="D12" s="15"/>
      <c r="E12" s="15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29">
      <c r="A13" s="1"/>
      <c r="B13" s="1" t="s">
        <v>12</v>
      </c>
      <c r="C13" s="14"/>
      <c r="D13" s="15"/>
      <c r="E13" s="15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</row>
    <row r="14" spans="1:29">
      <c r="A14" s="1"/>
      <c r="B14" s="1" t="s">
        <v>194</v>
      </c>
      <c r="C14" s="14">
        <f>1-D14</f>
        <v>0.99250000000000005</v>
      </c>
      <c r="D14" s="15">
        <v>7.4999999999999997E-3</v>
      </c>
      <c r="E14" s="15" t="s">
        <v>227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1:29">
      <c r="A15" s="1"/>
      <c r="B15" s="1" t="s">
        <v>201</v>
      </c>
      <c r="C15" s="14">
        <f>1-D15</f>
        <v>0.95</v>
      </c>
      <c r="D15" s="15">
        <v>0.05</v>
      </c>
      <c r="E15" s="15" t="s">
        <v>227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</row>
    <row r="16" spans="1:29">
      <c r="A16" s="1"/>
      <c r="B16" s="1" t="s">
        <v>200</v>
      </c>
      <c r="C16" s="14">
        <f>1-D16</f>
        <v>0.99</v>
      </c>
      <c r="D16" s="15">
        <v>0.01</v>
      </c>
      <c r="E16" s="15" t="s">
        <v>227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</row>
    <row r="17" spans="1:29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</row>
    <row r="18" spans="1:29">
      <c r="A18" s="1"/>
      <c r="B18" s="2" t="s">
        <v>228</v>
      </c>
      <c r="C18" s="2" t="s">
        <v>22</v>
      </c>
      <c r="D18" s="2" t="s">
        <v>23</v>
      </c>
      <c r="E18" s="1"/>
      <c r="F18" s="1"/>
      <c r="G18" s="7" t="s">
        <v>230</v>
      </c>
      <c r="H18" s="7" t="s">
        <v>22</v>
      </c>
      <c r="I18" s="7" t="s">
        <v>231</v>
      </c>
      <c r="J18" s="7" t="s">
        <v>22</v>
      </c>
      <c r="K18" s="7" t="s">
        <v>24</v>
      </c>
      <c r="L18" s="7" t="s">
        <v>22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</row>
    <row r="19" spans="1:29">
      <c r="A19" s="1"/>
      <c r="B19" s="1" t="s">
        <v>215</v>
      </c>
      <c r="C19" s="1">
        <f>C20/H7</f>
        <v>1.1795128615377684</v>
      </c>
      <c r="D19" s="1"/>
      <c r="E19" s="1"/>
      <c r="F19" s="1"/>
      <c r="G19" s="1" t="s">
        <v>217</v>
      </c>
      <c r="H19" s="1">
        <f>H20/H11</f>
        <v>0.581699818123388</v>
      </c>
      <c r="I19" s="1"/>
      <c r="J19" s="1"/>
      <c r="K19" s="19" t="s">
        <v>234</v>
      </c>
      <c r="L19" s="19">
        <f>H19+J26</f>
        <v>1.2301196409372883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</row>
    <row r="20" spans="1:29">
      <c r="A20" s="1"/>
      <c r="B20" s="1" t="s">
        <v>214</v>
      </c>
      <c r="C20" s="1">
        <f>C21/H10</f>
        <v>1.1205372184608799</v>
      </c>
      <c r="D20" s="1"/>
      <c r="E20" s="1"/>
      <c r="F20" s="1"/>
      <c r="G20" s="1" t="s">
        <v>211</v>
      </c>
      <c r="H20" s="1">
        <f>H21/H8</f>
        <v>0.57706948757112586</v>
      </c>
      <c r="I20" s="1"/>
      <c r="J20" s="1"/>
      <c r="K20" s="19" t="s">
        <v>235</v>
      </c>
      <c r="L20" s="19">
        <f>H35+J35</f>
        <v>1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</row>
    <row r="21" spans="1:29">
      <c r="A21" s="1"/>
      <c r="B21" s="1" t="s">
        <v>213</v>
      </c>
      <c r="C21" s="1">
        <f>C22/H9</f>
        <v>1.1065305032301189</v>
      </c>
      <c r="D21" s="1"/>
      <c r="E21" s="1"/>
      <c r="F21" s="1"/>
      <c r="G21" s="1" t="s">
        <v>213</v>
      </c>
      <c r="H21" s="1">
        <f>H22/H9</f>
        <v>0.5698561189764868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1:29">
      <c r="A22" s="1"/>
      <c r="B22" s="1" t="s">
        <v>211</v>
      </c>
      <c r="C22" s="1">
        <f>C23/H8</f>
        <v>1.0979991530502147</v>
      </c>
      <c r="D22" s="1"/>
      <c r="E22" s="1"/>
      <c r="F22" s="1"/>
      <c r="G22" s="1" t="s">
        <v>214</v>
      </c>
      <c r="H22" s="1">
        <f>H23/H10</f>
        <v>0.56546252829917809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1:29">
      <c r="A23" s="1"/>
      <c r="B23" s="1" t="s">
        <v>210</v>
      </c>
      <c r="C23" s="1">
        <f>C24/C8</f>
        <v>1.084274163637087</v>
      </c>
      <c r="D23" s="1"/>
      <c r="E23" s="1"/>
      <c r="F23" s="1"/>
      <c r="G23" s="1" t="s">
        <v>216</v>
      </c>
      <c r="H23" s="1">
        <f>H24/H6</f>
        <v>0.55839424669543836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</row>
    <row r="24" spans="1:29">
      <c r="A24" s="1"/>
      <c r="B24" s="1" t="s">
        <v>209</v>
      </c>
      <c r="C24" s="1">
        <f>C25/C6</f>
        <v>1.0707207365916234</v>
      </c>
      <c r="D24" s="1"/>
      <c r="E24" s="1"/>
      <c r="F24" s="1"/>
      <c r="G24" s="1" t="s">
        <v>215</v>
      </c>
      <c r="H24" s="1">
        <f>H25/H7</f>
        <v>0.55281030422848398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</row>
    <row r="25" spans="1:29">
      <c r="A25" s="1"/>
      <c r="B25" s="1" t="s">
        <v>208</v>
      </c>
      <c r="C25" s="1">
        <f>C26/C10</f>
        <v>1.0659560293137906</v>
      </c>
      <c r="D25" s="1"/>
      <c r="E25" s="1"/>
      <c r="F25" s="1"/>
      <c r="G25" s="1" t="s">
        <v>214</v>
      </c>
      <c r="H25" s="1">
        <f>H26/H10</f>
        <v>0.5251697890170598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</row>
    <row r="26" spans="1:29">
      <c r="A26" s="1"/>
      <c r="B26" s="1" t="s">
        <v>205</v>
      </c>
      <c r="C26" s="1">
        <f>C27/C15</f>
        <v>1.0526315789473684</v>
      </c>
      <c r="D26" s="1"/>
      <c r="E26" s="1"/>
      <c r="F26" s="1"/>
      <c r="G26" s="1" t="s">
        <v>213</v>
      </c>
      <c r="H26" s="1">
        <f>H27/H9</f>
        <v>0.51860516665434653</v>
      </c>
      <c r="I26" s="1" t="s">
        <v>217</v>
      </c>
      <c r="J26" s="1">
        <f>J27/H11</f>
        <v>0.64841982281390032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</row>
    <row r="27" spans="1:29">
      <c r="A27" s="1"/>
      <c r="B27" s="1" t="s">
        <v>207</v>
      </c>
      <c r="C27" s="1">
        <v>1</v>
      </c>
      <c r="D27" s="1"/>
      <c r="E27" s="1"/>
      <c r="F27" s="1"/>
      <c r="G27" s="1" t="s">
        <v>211</v>
      </c>
      <c r="H27" s="1">
        <f>H28/H8</f>
        <v>0.51460672081944148</v>
      </c>
      <c r="I27" s="1" t="s">
        <v>211</v>
      </c>
      <c r="J27" s="1">
        <f>J28/H8</f>
        <v>0.64325840102430165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</row>
    <row r="28" spans="1:29">
      <c r="A28" s="1"/>
      <c r="B28" s="2" t="s">
        <v>216</v>
      </c>
      <c r="C28" s="2"/>
      <c r="D28" s="2"/>
      <c r="E28" s="1"/>
      <c r="F28" s="1"/>
      <c r="G28" s="1" t="s">
        <v>210</v>
      </c>
      <c r="H28" s="1">
        <f>H29/C8</f>
        <v>0.50817413680919843</v>
      </c>
      <c r="I28" s="1" t="s">
        <v>210</v>
      </c>
      <c r="J28" s="1">
        <f>J29/C8</f>
        <v>0.63521767101149795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</row>
    <row r="29" spans="1:29">
      <c r="A29" s="1"/>
      <c r="B29" s="1" t="s">
        <v>217</v>
      </c>
      <c r="C29" s="1">
        <f>C30/H11</f>
        <v>1.0522593621608103</v>
      </c>
      <c r="D29" s="1"/>
      <c r="E29" s="1"/>
      <c r="F29" s="1"/>
      <c r="G29" s="1" t="s">
        <v>209</v>
      </c>
      <c r="H29" s="1">
        <f>H30/C6</f>
        <v>0.50182196009908342</v>
      </c>
      <c r="I29" s="1" t="s">
        <v>209</v>
      </c>
      <c r="J29" s="1">
        <f>J30/C6</f>
        <v>0.62727745012385427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</row>
    <row r="30" spans="1:29">
      <c r="A30" s="1"/>
      <c r="B30" s="1" t="s">
        <v>211</v>
      </c>
      <c r="C30" s="1">
        <f>C31/H8</f>
        <v>1.0438833776380103</v>
      </c>
      <c r="D30" s="1"/>
      <c r="E30" s="1"/>
      <c r="F30" s="1"/>
      <c r="G30" s="1" t="s">
        <v>208</v>
      </c>
      <c r="H30" s="1">
        <f>H31/C10</f>
        <v>0.49958885237664247</v>
      </c>
      <c r="I30" s="1" t="s">
        <v>208</v>
      </c>
      <c r="J30" s="1">
        <f>J31/C10</f>
        <v>0.6244860654708031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</row>
    <row r="31" spans="1:29">
      <c r="A31" s="1"/>
      <c r="B31" s="1" t="s">
        <v>213</v>
      </c>
      <c r="C31" s="1">
        <f>C32/H9</f>
        <v>1.0308348354175352</v>
      </c>
      <c r="D31" s="1"/>
      <c r="E31" s="1"/>
      <c r="F31" s="1"/>
      <c r="G31" s="1" t="s">
        <v>205</v>
      </c>
      <c r="H31" s="1">
        <f>H32/C15</f>
        <v>0.49334399172193444</v>
      </c>
      <c r="I31" s="1" t="s">
        <v>205</v>
      </c>
      <c r="J31" s="1">
        <f>J32/C15</f>
        <v>0.6166799896524181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</row>
    <row r="32" spans="1:29">
      <c r="A32" s="1"/>
      <c r="B32" s="1" t="s">
        <v>214</v>
      </c>
      <c r="C32" s="1">
        <f>C33/H10</f>
        <v>1.022887098836466</v>
      </c>
      <c r="D32" s="1"/>
      <c r="E32" s="1"/>
      <c r="F32" s="1"/>
      <c r="G32" s="1" t="s">
        <v>206</v>
      </c>
      <c r="H32" s="1">
        <f>H33/C16</f>
        <v>0.46867679213583768</v>
      </c>
      <c r="I32" s="1" t="s">
        <v>206</v>
      </c>
      <c r="J32" s="1">
        <f>J33/C16</f>
        <v>0.58584599016979721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</row>
    <row r="33" spans="1:29">
      <c r="A33" s="1"/>
      <c r="B33" s="1" t="s">
        <v>216</v>
      </c>
      <c r="C33" s="1">
        <f>C34/H6</f>
        <v>1.0101010101010102</v>
      </c>
      <c r="D33" s="1"/>
      <c r="E33" s="1"/>
      <c r="F33" s="1"/>
      <c r="G33" s="1" t="s">
        <v>208</v>
      </c>
      <c r="H33" s="1">
        <f>H34/C10</f>
        <v>0.46399002421447932</v>
      </c>
      <c r="I33" s="1" t="s">
        <v>208</v>
      </c>
      <c r="J33" s="1">
        <f>J34/C10</f>
        <v>0.57998753026809924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</row>
    <row r="34" spans="1:29">
      <c r="A34" s="1"/>
      <c r="B34" s="1" t="s">
        <v>218</v>
      </c>
      <c r="C34" s="1">
        <v>1</v>
      </c>
      <c r="D34" s="1"/>
      <c r="E34" s="1"/>
      <c r="F34" s="1"/>
      <c r="G34" s="1" t="s">
        <v>0</v>
      </c>
      <c r="H34" s="1">
        <f>H35/C9</f>
        <v>0.45819014891179838</v>
      </c>
      <c r="I34" s="1" t="s">
        <v>0</v>
      </c>
      <c r="J34" s="1">
        <f>J35/C9</f>
        <v>0.57273768613974807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</row>
    <row r="35" spans="1:29">
      <c r="A35" s="1"/>
      <c r="B35" s="2" t="s">
        <v>204</v>
      </c>
      <c r="C35" s="2" t="s">
        <v>22</v>
      </c>
      <c r="D35" s="2" t="s">
        <v>23</v>
      </c>
      <c r="E35" s="1"/>
      <c r="F35" s="1"/>
      <c r="G35" s="1" t="s">
        <v>202</v>
      </c>
      <c r="H35" s="1">
        <f>2/4.5</f>
        <v>0.44444444444444442</v>
      </c>
      <c r="I35" s="1" t="s">
        <v>202</v>
      </c>
      <c r="J35" s="1">
        <f>2.5/4.5</f>
        <v>0.55555555555555558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</row>
    <row r="36" spans="1:29">
      <c r="A36" s="1"/>
      <c r="B36" s="1" t="s">
        <v>206</v>
      </c>
      <c r="C36" s="1">
        <f>C37/C16</f>
        <v>1.0545227823056351</v>
      </c>
      <c r="D36" s="1"/>
      <c r="E36" s="1"/>
      <c r="F36" s="1"/>
      <c r="G36" s="7" t="s">
        <v>232</v>
      </c>
      <c r="H36" s="7"/>
      <c r="I36" s="7" t="s">
        <v>233</v>
      </c>
      <c r="J36" s="7" t="s">
        <v>22</v>
      </c>
      <c r="K36" s="7" t="s">
        <v>197</v>
      </c>
      <c r="L36" s="7" t="s">
        <v>22</v>
      </c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</row>
    <row r="37" spans="1:29">
      <c r="A37" s="1"/>
      <c r="B37" s="1" t="s">
        <v>199</v>
      </c>
      <c r="C37" s="1">
        <f>C38/C10</f>
        <v>1.0439775544825787</v>
      </c>
      <c r="D37" s="1"/>
      <c r="E37" s="1"/>
      <c r="F37" s="1"/>
      <c r="G37" s="1" t="s">
        <v>217</v>
      </c>
      <c r="H37" s="1">
        <f>H38/H11</f>
        <v>0.58785104295430146</v>
      </c>
      <c r="I37" s="1"/>
      <c r="J37" s="1"/>
      <c r="K37" s="19" t="s">
        <v>234</v>
      </c>
      <c r="L37" s="19">
        <f>H37+J46</f>
        <v>1.2297858670217632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</row>
    <row r="38" spans="1:29">
      <c r="A38" s="1"/>
      <c r="B38" s="1" t="s">
        <v>0</v>
      </c>
      <c r="C38" s="1">
        <f>C39/C9</f>
        <v>1.0309278350515465</v>
      </c>
      <c r="D38" s="1"/>
      <c r="E38" s="1"/>
      <c r="F38" s="1"/>
      <c r="G38" s="1" t="s">
        <v>211</v>
      </c>
      <c r="H38" s="1">
        <f>H39/H8</f>
        <v>0.58317174865238519</v>
      </c>
      <c r="I38" s="1"/>
      <c r="J38" s="1"/>
      <c r="K38" s="19" t="s">
        <v>191</v>
      </c>
      <c r="L38" s="19">
        <f>H54+J54</f>
        <v>1</v>
      </c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</row>
    <row r="39" spans="1:29">
      <c r="A39" s="1"/>
      <c r="B39" s="1" t="s">
        <v>202</v>
      </c>
      <c r="C39" s="1">
        <v>1</v>
      </c>
      <c r="D39" s="1" t="s">
        <v>203</v>
      </c>
      <c r="E39" s="1"/>
      <c r="F39" s="1"/>
      <c r="G39" s="1" t="s">
        <v>213</v>
      </c>
      <c r="H39" s="1">
        <f>H40/H9</f>
        <v>0.57588210179423038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</row>
    <row r="40" spans="1:29">
      <c r="A40" s="1"/>
      <c r="B40" s="17" t="s">
        <v>190</v>
      </c>
      <c r="C40" s="17" t="s">
        <v>22</v>
      </c>
      <c r="D40" s="7" t="s">
        <v>23</v>
      </c>
      <c r="E40" s="18"/>
      <c r="F40" s="1"/>
      <c r="G40" s="1" t="s">
        <v>214</v>
      </c>
      <c r="H40" s="1">
        <f>H41/H10</f>
        <v>0.57144205078939692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</row>
    <row r="41" spans="1:29">
      <c r="A41" s="1"/>
      <c r="B41" s="8" t="s">
        <v>192</v>
      </c>
      <c r="C41" s="8">
        <f>C42/C14</f>
        <v>1.0203105570257944</v>
      </c>
      <c r="D41" s="1" t="s">
        <v>196</v>
      </c>
      <c r="E41" s="18"/>
      <c r="F41" s="1"/>
      <c r="G41" s="1" t="s">
        <v>216</v>
      </c>
      <c r="H41" s="1">
        <f>H42/H6</f>
        <v>0.56429902515452945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</row>
    <row r="42" spans="1:29">
      <c r="A42" s="1"/>
      <c r="B42" s="8" t="s">
        <v>193</v>
      </c>
      <c r="C42" s="8">
        <f>C43/C7</f>
        <v>1.0126582278481011</v>
      </c>
      <c r="D42" s="1"/>
      <c r="E42" s="18"/>
      <c r="F42" s="1"/>
      <c r="G42" s="1" t="s">
        <v>215</v>
      </c>
      <c r="H42" s="1">
        <f>H43/H7</f>
        <v>0.5586560349029841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</row>
    <row r="43" spans="1:29">
      <c r="A43" s="1"/>
      <c r="B43" s="1" t="s">
        <v>191</v>
      </c>
      <c r="C43" s="1">
        <v>1</v>
      </c>
      <c r="D43" s="1" t="s">
        <v>221</v>
      </c>
      <c r="E43" s="1"/>
      <c r="F43" s="1"/>
      <c r="G43" s="1" t="s">
        <v>214</v>
      </c>
      <c r="H43" s="1">
        <f>H44/H10</f>
        <v>0.53072323315783487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</row>
    <row r="44" spans="1:29">
      <c r="A44" s="1"/>
      <c r="B44" s="2" t="s">
        <v>197</v>
      </c>
      <c r="C44" s="2" t="s">
        <v>22</v>
      </c>
      <c r="D44" s="2" t="s">
        <v>23</v>
      </c>
      <c r="E44" s="1"/>
      <c r="F44" s="1"/>
      <c r="G44" s="1" t="s">
        <v>213</v>
      </c>
      <c r="H44" s="1">
        <f>H45/H9</f>
        <v>0.52408919274336196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</row>
    <row r="45" spans="1:29">
      <c r="A45" s="1"/>
      <c r="B45" s="1" t="s">
        <v>206</v>
      </c>
      <c r="C45" s="1">
        <f>C46/C16</f>
        <v>1.0656739061691574</v>
      </c>
      <c r="D45" s="1"/>
      <c r="E45" s="1"/>
      <c r="F45" s="1"/>
      <c r="G45" s="1" t="s">
        <v>211</v>
      </c>
      <c r="H45" s="1">
        <f>H46/H8</f>
        <v>0.52004846506731062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</row>
    <row r="46" spans="1:29">
      <c r="A46" s="1"/>
      <c r="B46" s="1" t="s">
        <v>199</v>
      </c>
      <c r="C46" s="1">
        <f>C47/C10</f>
        <v>1.0550171671074657</v>
      </c>
      <c r="D46" s="1"/>
      <c r="E46" s="1"/>
      <c r="F46" s="1"/>
      <c r="G46" s="1" t="s">
        <v>210</v>
      </c>
      <c r="H46" s="1">
        <f>H47/C8</f>
        <v>0.51354785925396929</v>
      </c>
      <c r="I46" s="1" t="s">
        <v>210</v>
      </c>
      <c r="J46" s="1">
        <f>J47/C8</f>
        <v>0.64193482406746172</v>
      </c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</row>
    <row r="47" spans="1:29">
      <c r="A47" s="1"/>
      <c r="B47" s="1" t="s">
        <v>198</v>
      </c>
      <c r="C47" s="1">
        <f>C48/C5</f>
        <v>1.0418294525186225</v>
      </c>
      <c r="D47" s="1"/>
      <c r="E47" s="1"/>
      <c r="F47" s="1"/>
      <c r="G47" s="1" t="s">
        <v>209</v>
      </c>
      <c r="H47" s="1">
        <f>H48/C6</f>
        <v>0.5071285110132947</v>
      </c>
      <c r="I47" s="1" t="s">
        <v>209</v>
      </c>
      <c r="J47" s="1">
        <f>J48/C6</f>
        <v>0.63391063876661846</v>
      </c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</row>
    <row r="48" spans="1:29">
      <c r="A48" s="1"/>
      <c r="B48" s="8" t="s">
        <v>193</v>
      </c>
      <c r="C48" s="1">
        <f>C49/C7</f>
        <v>1.0126582278481011</v>
      </c>
      <c r="D48" s="1"/>
      <c r="E48" s="1"/>
      <c r="F48" s="1"/>
      <c r="G48" s="1" t="s">
        <v>208</v>
      </c>
      <c r="H48" s="1">
        <f>H49/C10</f>
        <v>0.50487178913928554</v>
      </c>
      <c r="I48" s="1" t="s">
        <v>208</v>
      </c>
      <c r="J48" s="1">
        <f>J49/C10</f>
        <v>0.63108973642410693</v>
      </c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</row>
    <row r="49" spans="1:29">
      <c r="A49" s="1"/>
      <c r="B49" s="1" t="s">
        <v>191</v>
      </c>
      <c r="C49" s="1">
        <v>1</v>
      </c>
      <c r="D49" s="1" t="s">
        <v>195</v>
      </c>
      <c r="E49" s="1"/>
      <c r="F49" s="1"/>
      <c r="G49" s="1" t="s">
        <v>205</v>
      </c>
      <c r="H49" s="1">
        <f>H50/C15</f>
        <v>0.49856089177504453</v>
      </c>
      <c r="I49" s="1" t="s">
        <v>205</v>
      </c>
      <c r="J49" s="1">
        <f>J50/C15</f>
        <v>0.62320111471880557</v>
      </c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</row>
    <row r="50" spans="1:29">
      <c r="A50" s="1"/>
      <c r="B50" s="7" t="s">
        <v>26</v>
      </c>
      <c r="C50" s="7" t="s">
        <v>22</v>
      </c>
      <c r="D50" s="7" t="s">
        <v>23</v>
      </c>
      <c r="E50" s="1"/>
      <c r="F50" s="1"/>
      <c r="G50" s="1" t="s">
        <v>206</v>
      </c>
      <c r="H50" s="1">
        <f>H51/C16</f>
        <v>0.47363284718629228</v>
      </c>
      <c r="I50" s="1" t="s">
        <v>206</v>
      </c>
      <c r="J50" s="1">
        <f>J51/C16</f>
        <v>0.5920410589828653</v>
      </c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</row>
    <row r="51" spans="1:29">
      <c r="A51" s="1"/>
      <c r="B51" s="1" t="s">
        <v>224</v>
      </c>
      <c r="C51" s="1">
        <f>C52</f>
        <v>1.1070811818479094</v>
      </c>
      <c r="D51" s="1" t="s">
        <v>223</v>
      </c>
      <c r="E51" s="1"/>
      <c r="F51" s="1"/>
      <c r="G51" s="1" t="s">
        <v>208</v>
      </c>
      <c r="H51" s="1">
        <f>H52/C10</f>
        <v>0.46889651871442933</v>
      </c>
      <c r="I51" s="1" t="s">
        <v>208</v>
      </c>
      <c r="J51" s="1">
        <f>J52/C10</f>
        <v>0.58612064839303668</v>
      </c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</row>
    <row r="52" spans="1:29">
      <c r="A52" s="1"/>
      <c r="B52" s="1" t="s">
        <v>7</v>
      </c>
      <c r="C52" s="1">
        <f>C53</f>
        <v>1.1070811818479094</v>
      </c>
      <c r="D52" s="1" t="s">
        <v>223</v>
      </c>
      <c r="E52" s="1"/>
      <c r="F52" s="1"/>
      <c r="G52" s="1" t="s">
        <v>198</v>
      </c>
      <c r="H52" s="1">
        <f>H53/C5</f>
        <v>0.46303531223049899</v>
      </c>
      <c r="I52" s="1" t="s">
        <v>198</v>
      </c>
      <c r="J52" s="1">
        <f>J53/C5</f>
        <v>0.5787941402881237</v>
      </c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</row>
    <row r="53" spans="1:29">
      <c r="A53" s="1"/>
      <c r="B53" s="1" t="s">
        <v>17</v>
      </c>
      <c r="C53" s="1">
        <f>C54/C11</f>
        <v>1.1070811818479094</v>
      </c>
      <c r="D53" s="1"/>
      <c r="E53" s="1"/>
      <c r="F53" s="1"/>
      <c r="G53" s="8" t="s">
        <v>193</v>
      </c>
      <c r="H53" s="1">
        <f>H54/C7</f>
        <v>0.45007032348804499</v>
      </c>
      <c r="I53" s="8" t="s">
        <v>193</v>
      </c>
      <c r="J53" s="1">
        <f>J54/C7</f>
        <v>0.56258790436005623</v>
      </c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</row>
    <row r="54" spans="1:29">
      <c r="A54" s="1"/>
      <c r="B54" s="1" t="s">
        <v>199</v>
      </c>
      <c r="C54" s="1">
        <f>C55/C10</f>
        <v>1.0439775544825787</v>
      </c>
      <c r="D54" s="1"/>
      <c r="E54" s="1"/>
      <c r="F54" s="1"/>
      <c r="G54" s="1" t="s">
        <v>191</v>
      </c>
      <c r="H54" s="1">
        <f>2/4.5</f>
        <v>0.44444444444444442</v>
      </c>
      <c r="I54" s="1" t="s">
        <v>191</v>
      </c>
      <c r="J54" s="1">
        <f>2.5/4.5</f>
        <v>0.55555555555555558</v>
      </c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</row>
    <row r="55" spans="1:29">
      <c r="A55" s="1"/>
      <c r="B55" s="1" t="s">
        <v>0</v>
      </c>
      <c r="C55" s="1">
        <f>C56/C9</f>
        <v>1.0309278350515465</v>
      </c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</row>
    <row r="56" spans="1:29">
      <c r="A56" s="1"/>
      <c r="B56" s="1" t="s">
        <v>25</v>
      </c>
      <c r="C56" s="1">
        <v>1</v>
      </c>
      <c r="D56" s="1" t="s">
        <v>220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</row>
    <row r="57" spans="1:29">
      <c r="A57" s="1"/>
      <c r="B57" s="7" t="s">
        <v>225</v>
      </c>
      <c r="C57" s="7" t="s">
        <v>22</v>
      </c>
      <c r="D57" s="7" t="s">
        <v>23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</row>
    <row r="58" spans="1:29">
      <c r="A58" s="1"/>
      <c r="B58" s="1" t="s">
        <v>224</v>
      </c>
      <c r="C58" s="1">
        <f>C59</f>
        <v>1.1187880881309287</v>
      </c>
      <c r="D58" s="1" t="s">
        <v>223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</row>
    <row r="59" spans="1:29">
      <c r="A59" s="1"/>
      <c r="B59" s="1" t="s">
        <v>7</v>
      </c>
      <c r="C59" s="1">
        <f>C60</f>
        <v>1.1187880881309287</v>
      </c>
      <c r="D59" s="1" t="s">
        <v>223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</row>
    <row r="60" spans="1:29">
      <c r="A60" s="1"/>
      <c r="B60" s="1" t="s">
        <v>17</v>
      </c>
      <c r="C60" s="1">
        <f>C61/C11</f>
        <v>1.1187880881309287</v>
      </c>
      <c r="D60" s="1"/>
      <c r="E60" s="1"/>
      <c r="F60" s="1"/>
      <c r="G60" s="1"/>
      <c r="H60" s="9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</row>
    <row r="61" spans="1:29">
      <c r="A61" s="1"/>
      <c r="B61" s="1" t="s">
        <v>199</v>
      </c>
      <c r="C61" s="1">
        <f>C62/C10</f>
        <v>1.0550171671074657</v>
      </c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</row>
    <row r="62" spans="1:29">
      <c r="A62" s="1"/>
      <c r="B62" s="1" t="s">
        <v>198</v>
      </c>
      <c r="C62" s="1">
        <f>C63/C5</f>
        <v>1.0418294525186225</v>
      </c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</row>
    <row r="63" spans="1:29">
      <c r="A63" s="1"/>
      <c r="B63" s="1" t="s">
        <v>193</v>
      </c>
      <c r="C63" s="1">
        <f>C64/C7</f>
        <v>1.0126582278481011</v>
      </c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</row>
    <row r="64" spans="1:29">
      <c r="A64" s="1"/>
      <c r="B64" s="1" t="s">
        <v>191</v>
      </c>
      <c r="C64" s="1">
        <v>1</v>
      </c>
      <c r="D64" s="1" t="s">
        <v>222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</row>
    <row r="65" spans="1:29">
      <c r="A65" s="1"/>
      <c r="B65" s="2" t="s">
        <v>229</v>
      </c>
      <c r="C65" s="2"/>
      <c r="D65" s="2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</row>
    <row r="66" spans="1:29">
      <c r="A66" s="1"/>
      <c r="B66" s="1" t="s">
        <v>217</v>
      </c>
      <c r="C66" s="1">
        <f>C67/H11</f>
        <v>1.106809355520155</v>
      </c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</row>
    <row r="67" spans="1:29">
      <c r="A67" s="1"/>
      <c r="B67" s="1" t="s">
        <v>211</v>
      </c>
      <c r="C67" s="1">
        <f>C68/H8</f>
        <v>1.0979991530502147</v>
      </c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</row>
    <row r="68" spans="1:29">
      <c r="A68" s="1"/>
      <c r="B68" s="1" t="s">
        <v>210</v>
      </c>
      <c r="C68" s="1">
        <f>C69/C8</f>
        <v>1.084274163637087</v>
      </c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</row>
    <row r="69" spans="1:29">
      <c r="A69" s="1"/>
      <c r="B69" s="1" t="s">
        <v>209</v>
      </c>
      <c r="C69" s="1">
        <f>C70/C6</f>
        <v>1.0707207365916234</v>
      </c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</row>
    <row r="70" spans="1:29">
      <c r="A70" s="1"/>
      <c r="B70" s="1" t="s">
        <v>208</v>
      </c>
      <c r="C70" s="1">
        <f>C71/C10</f>
        <v>1.0659560293137906</v>
      </c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</row>
    <row r="71" spans="1:29">
      <c r="A71" s="1"/>
      <c r="B71" s="1" t="s">
        <v>205</v>
      </c>
      <c r="C71" s="1">
        <f>C72/C15</f>
        <v>1.0526315789473684</v>
      </c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</row>
    <row r="72" spans="1:29">
      <c r="A72" s="1"/>
      <c r="B72" s="1" t="s">
        <v>207</v>
      </c>
      <c r="C72" s="1">
        <v>1</v>
      </c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</row>
    <row r="73" spans="1:29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</row>
    <row r="74" spans="1:29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</row>
    <row r="75" spans="1:29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</row>
    <row r="76" spans="1:29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</row>
    <row r="77" spans="1:29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</row>
    <row r="78" spans="1:29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</row>
    <row r="79" spans="1:29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</row>
    <row r="80" spans="1:29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</row>
    <row r="81" spans="1:29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</row>
    <row r="82" spans="1:29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</row>
    <row r="83" spans="1:29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</row>
    <row r="84" spans="1:29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</row>
    <row r="85" spans="1:29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</row>
    <row r="86" spans="1:29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</row>
    <row r="87" spans="1:29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</row>
    <row r="88" spans="1:29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</row>
    <row r="89" spans="1:29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</row>
    <row r="90" spans="1:29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</row>
    <row r="91" spans="1:29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</row>
    <row r="92" spans="1:29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</row>
    <row r="93" spans="1:29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</row>
    <row r="94" spans="1:29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</row>
    <row r="95" spans="1:29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</row>
    <row r="96" spans="1:29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</row>
    <row r="97" spans="1:29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</row>
    <row r="98" spans="1:29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</row>
    <row r="99" spans="1:29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</row>
    <row r="100" spans="1:29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</row>
    <row r="101" spans="1:29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</row>
    <row r="102" spans="1:29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</row>
    <row r="103" spans="1:29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</row>
    <row r="104" spans="1:29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</row>
    <row r="105" spans="1:29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</row>
    <row r="106" spans="1:29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</row>
    <row r="107" spans="1:29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</row>
    <row r="108" spans="1:29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</row>
    <row r="109" spans="1:29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</row>
    <row r="110" spans="1:29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</row>
    <row r="111" spans="1:29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</row>
    <row r="112" spans="1:29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</row>
    <row r="113" spans="1:29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</row>
    <row r="114" spans="1:29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</row>
    <row r="115" spans="1:29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</row>
    <row r="116" spans="1:29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</row>
    <row r="117" spans="1:29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</row>
    <row r="118" spans="1:29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</row>
    <row r="119" spans="1:29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</row>
    <row r="120" spans="1:29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</row>
    <row r="121" spans="1:29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</row>
    <row r="122" spans="1:29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</row>
    <row r="123" spans="1:29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</row>
    <row r="124" spans="1:29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</row>
    <row r="125" spans="1:29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</row>
    <row r="126" spans="1:29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</row>
    <row r="127" spans="1:29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</row>
    <row r="128" spans="1:29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</row>
    <row r="129" spans="1:29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</row>
    <row r="130" spans="1:29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</row>
    <row r="131" spans="1:29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</row>
    <row r="132" spans="1:29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</row>
    <row r="133" spans="1:29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</row>
    <row r="134" spans="1:29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</row>
    <row r="135" spans="1:29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</row>
    <row r="136" spans="1:29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</row>
    <row r="137" spans="1:29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</row>
    <row r="138" spans="1:29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</row>
    <row r="139" spans="1:29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</row>
    <row r="140" spans="1:29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</row>
    <row r="141" spans="1:29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</row>
    <row r="142" spans="1:29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</row>
    <row r="143" spans="1:29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</row>
    <row r="144" spans="1:29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</row>
    <row r="145" spans="1:29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</row>
    <row r="146" spans="1:29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</row>
    <row r="147" spans="1:29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</row>
    <row r="148" spans="1:29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</row>
    <row r="149" spans="1:29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</row>
    <row r="150" spans="1:29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</row>
    <row r="151" spans="1:29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</row>
    <row r="152" spans="1:29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</row>
    <row r="153" spans="1:29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</row>
    <row r="154" spans="1:29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</row>
    <row r="155" spans="1:29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</row>
    <row r="156" spans="1:29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</row>
    <row r="157" spans="1:29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</row>
    <row r="158" spans="1:29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</row>
    <row r="159" spans="1:29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</row>
    <row r="160" spans="1:29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</row>
    <row r="161" spans="1:29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</row>
    <row r="162" spans="1:29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</row>
    <row r="163" spans="1:29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</row>
    <row r="164" spans="1:29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</row>
    <row r="165" spans="1:29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</row>
    <row r="166" spans="1:29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</row>
    <row r="167" spans="1:29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</row>
    <row r="168" spans="1:29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</row>
    <row r="169" spans="1:29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</row>
    <row r="170" spans="1:29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</row>
    <row r="171" spans="1:29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</row>
    <row r="172" spans="1:29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</row>
    <row r="173" spans="1:29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</row>
    <row r="174" spans="1:29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</row>
    <row r="175" spans="1:29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</row>
    <row r="176" spans="1:29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</row>
    <row r="177" spans="1:29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</row>
    <row r="178" spans="1:29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</row>
    <row r="179" spans="1:29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</row>
    <row r="180" spans="1:29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</row>
    <row r="181" spans="1:29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</row>
    <row r="182" spans="1:29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</row>
    <row r="183" spans="1:29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</row>
    <row r="184" spans="1:29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</row>
    <row r="185" spans="1:29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</row>
    <row r="186" spans="1:29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</row>
    <row r="187" spans="1:29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</row>
    <row r="188" spans="1:29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</row>
    <row r="189" spans="1:29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</row>
    <row r="190" spans="1:29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</row>
    <row r="191" spans="1:29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</row>
    <row r="192" spans="1:29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</row>
    <row r="193" spans="1:29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</row>
    <row r="194" spans="1:29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</row>
    <row r="195" spans="1:29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</row>
    <row r="196" spans="1:29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</row>
    <row r="197" spans="1:29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</row>
    <row r="198" spans="1:29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</row>
    <row r="199" spans="1:29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</row>
    <row r="200" spans="1:29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</row>
    <row r="201" spans="1:29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</row>
    <row r="202" spans="1:29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</row>
    <row r="203" spans="1:29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</row>
    <row r="204" spans="1:29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</row>
    <row r="205" spans="1:29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</row>
    <row r="206" spans="1:29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</row>
    <row r="207" spans="1:29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</row>
    <row r="208" spans="1:29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</row>
    <row r="209" spans="1:29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</row>
    <row r="210" spans="1:29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</row>
    <row r="211" spans="1:29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</row>
    <row r="212" spans="1:29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</row>
    <row r="213" spans="1:29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</row>
    <row r="214" spans="1:29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</row>
    <row r="215" spans="1:29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</row>
    <row r="216" spans="1:29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</row>
    <row r="217" spans="1:29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</row>
    <row r="218" spans="1:29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</row>
    <row r="219" spans="1:29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</row>
    <row r="220" spans="1:29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</row>
    <row r="221" spans="1:29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</row>
    <row r="222" spans="1:29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</row>
    <row r="223" spans="1:29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</row>
    <row r="224" spans="1:29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</row>
    <row r="225" spans="1:29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</row>
    <row r="226" spans="1:29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</row>
    <row r="227" spans="1:29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</row>
    <row r="228" spans="1:29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</row>
    <row r="229" spans="1:29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</row>
    <row r="230" spans="1:29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</row>
    <row r="231" spans="1:29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</row>
    <row r="232" spans="1:29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</row>
    <row r="233" spans="1:29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</row>
    <row r="234" spans="1:29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</row>
    <row r="235" spans="1:29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</row>
    <row r="236" spans="1:29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</row>
    <row r="237" spans="1:29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</row>
    <row r="238" spans="1:29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</row>
  </sheetData>
  <mergeCells count="2">
    <mergeCell ref="B3:C3"/>
    <mergeCell ref="G3:I3"/>
  </mergeCells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B00FD-A9D8-E84E-AD71-16C34CB362AA}">
  <dimension ref="A1:AV271"/>
  <sheetViews>
    <sheetView topLeftCell="AE1" workbookViewId="0">
      <selection activeCell="F53" sqref="F53:J67"/>
    </sheetView>
  </sheetViews>
  <sheetFormatPr baseColWidth="10" defaultRowHeight="16"/>
  <cols>
    <col min="3" max="3" width="43.5" bestFit="1" customWidth="1"/>
    <col min="7" max="7" width="59" bestFit="1" customWidth="1"/>
    <col min="9" max="9" width="16.83203125" bestFit="1" customWidth="1"/>
    <col min="11" max="11" width="59" bestFit="1" customWidth="1"/>
    <col min="15" max="15" width="59" bestFit="1" customWidth="1"/>
    <col min="19" max="19" width="58.83203125" bestFit="1" customWidth="1"/>
    <col min="23" max="23" width="63.5" bestFit="1" customWidth="1"/>
    <col min="27" max="27" width="63.83203125" bestFit="1" customWidth="1"/>
    <col min="31" max="31" width="63.83203125" bestFit="1" customWidth="1"/>
    <col min="35" max="35" width="63.83203125" bestFit="1" customWidth="1"/>
    <col min="39" max="39" width="19.83203125" bestFit="1" customWidth="1"/>
  </cols>
  <sheetData>
    <row r="1" spans="1:48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</row>
    <row r="2" spans="1:48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</row>
    <row r="3" spans="1:48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</row>
    <row r="4" spans="1:48">
      <c r="A4" s="1"/>
      <c r="B4" s="1"/>
      <c r="C4" s="26" t="s">
        <v>97</v>
      </c>
      <c r="D4" s="26"/>
      <c r="E4" s="26"/>
      <c r="F4" s="1"/>
      <c r="G4" s="25" t="s">
        <v>45</v>
      </c>
      <c r="H4" s="25"/>
      <c r="I4" s="25"/>
      <c r="J4" s="1"/>
      <c r="K4" s="25" t="s">
        <v>46</v>
      </c>
      <c r="L4" s="25"/>
      <c r="M4" s="25"/>
      <c r="N4" s="1"/>
      <c r="O4" s="25" t="s">
        <v>17</v>
      </c>
      <c r="P4" s="25"/>
      <c r="Q4" s="25"/>
      <c r="R4" s="1"/>
      <c r="S4" s="25" t="s">
        <v>138</v>
      </c>
      <c r="T4" s="25"/>
      <c r="U4" s="25"/>
      <c r="V4" s="1"/>
      <c r="W4" s="25" t="s">
        <v>129</v>
      </c>
      <c r="X4" s="25"/>
      <c r="Y4" s="25"/>
      <c r="Z4" s="1"/>
      <c r="AA4" s="25" t="s">
        <v>130</v>
      </c>
      <c r="AB4" s="25"/>
      <c r="AC4" s="25"/>
      <c r="AD4" s="1"/>
      <c r="AE4" s="25" t="s">
        <v>133</v>
      </c>
      <c r="AF4" s="25"/>
      <c r="AG4" s="25"/>
      <c r="AH4" s="1"/>
      <c r="AI4" s="25" t="s">
        <v>134</v>
      </c>
      <c r="AJ4" s="25"/>
      <c r="AK4" s="25"/>
      <c r="AL4" s="1"/>
      <c r="AM4" s="26" t="s">
        <v>11</v>
      </c>
      <c r="AN4" s="26"/>
      <c r="AO4" s="26"/>
      <c r="AP4" s="1"/>
      <c r="AQ4" s="1"/>
      <c r="AR4" s="1"/>
      <c r="AS4" s="1"/>
      <c r="AT4" s="1"/>
      <c r="AU4" s="1"/>
      <c r="AV4" s="1"/>
    </row>
    <row r="5" spans="1:48">
      <c r="A5" s="1"/>
      <c r="B5" s="1"/>
      <c r="C5" s="1" t="s">
        <v>55</v>
      </c>
      <c r="D5" s="1">
        <v>105200</v>
      </c>
      <c r="E5" s="1" t="s">
        <v>22</v>
      </c>
      <c r="F5" s="1"/>
      <c r="G5" s="1" t="s">
        <v>30</v>
      </c>
      <c r="H5" s="1">
        <v>6484</v>
      </c>
      <c r="I5" s="1" t="s">
        <v>27</v>
      </c>
      <c r="J5" s="1"/>
      <c r="K5" s="1" t="s">
        <v>30</v>
      </c>
      <c r="L5" s="1">
        <v>6484</v>
      </c>
      <c r="M5" s="1" t="s">
        <v>27</v>
      </c>
      <c r="N5" s="1"/>
      <c r="O5" s="1" t="s">
        <v>30</v>
      </c>
      <c r="P5" s="1">
        <v>6484</v>
      </c>
      <c r="Q5" s="1" t="s">
        <v>27</v>
      </c>
      <c r="R5" s="1"/>
      <c r="S5" s="1" t="s">
        <v>139</v>
      </c>
      <c r="T5" s="1">
        <v>633</v>
      </c>
      <c r="U5" s="1" t="s">
        <v>42</v>
      </c>
      <c r="V5" s="1"/>
      <c r="W5" s="1" t="s">
        <v>61</v>
      </c>
      <c r="X5" s="1">
        <v>80</v>
      </c>
      <c r="Y5" s="1" t="s">
        <v>27</v>
      </c>
      <c r="Z5" s="1"/>
      <c r="AA5" s="1" t="s">
        <v>61</v>
      </c>
      <c r="AB5" s="1">
        <v>80</v>
      </c>
      <c r="AC5" s="1" t="s">
        <v>27</v>
      </c>
      <c r="AD5" s="1"/>
      <c r="AE5" s="1" t="s">
        <v>61</v>
      </c>
      <c r="AF5" s="1">
        <v>80</v>
      </c>
      <c r="AG5" s="1" t="s">
        <v>27</v>
      </c>
      <c r="AH5" s="1"/>
      <c r="AI5" s="1" t="s">
        <v>61</v>
      </c>
      <c r="AJ5" s="1">
        <v>80</v>
      </c>
      <c r="AK5" s="1" t="s">
        <v>27</v>
      </c>
      <c r="AL5" s="1"/>
      <c r="AM5" s="1" t="s">
        <v>141</v>
      </c>
      <c r="AN5" s="1">
        <v>390</v>
      </c>
      <c r="AO5" s="1" t="s">
        <v>142</v>
      </c>
      <c r="AP5" s="1"/>
      <c r="AQ5" s="1"/>
      <c r="AR5" s="1"/>
      <c r="AS5" s="1"/>
      <c r="AT5" s="1"/>
      <c r="AU5" s="1"/>
      <c r="AV5" s="1"/>
    </row>
    <row r="6" spans="1:48">
      <c r="A6" s="1"/>
      <c r="B6" s="1"/>
      <c r="C6" s="1" t="s">
        <v>56</v>
      </c>
      <c r="D6" s="1">
        <v>19100</v>
      </c>
      <c r="E6" s="1" t="s">
        <v>22</v>
      </c>
      <c r="F6" s="1"/>
      <c r="G6" s="1" t="s">
        <v>60</v>
      </c>
      <c r="H6" s="1">
        <v>1294</v>
      </c>
      <c r="I6" s="1" t="s">
        <v>27</v>
      </c>
      <c r="J6" s="1"/>
      <c r="K6" s="1" t="s">
        <v>60</v>
      </c>
      <c r="L6" s="1">
        <v>1294</v>
      </c>
      <c r="M6" s="1" t="s">
        <v>27</v>
      </c>
      <c r="N6" s="1"/>
      <c r="O6" s="1" t="s">
        <v>60</v>
      </c>
      <c r="P6" s="1">
        <v>1294</v>
      </c>
      <c r="Q6" s="1" t="s">
        <v>27</v>
      </c>
      <c r="R6" s="1"/>
      <c r="S6" s="1" t="s">
        <v>140</v>
      </c>
      <c r="T6" s="1">
        <f>10576+5642+5576+608+264</f>
        <v>22666</v>
      </c>
      <c r="U6" s="1" t="s">
        <v>42</v>
      </c>
      <c r="V6" s="1"/>
      <c r="W6" s="1" t="s">
        <v>31</v>
      </c>
      <c r="X6" s="1">
        <v>318</v>
      </c>
      <c r="Y6" s="1" t="s">
        <v>27</v>
      </c>
      <c r="Z6" s="1"/>
      <c r="AA6" s="1" t="s">
        <v>31</v>
      </c>
      <c r="AB6" s="1">
        <v>318</v>
      </c>
      <c r="AC6" s="1" t="s">
        <v>27</v>
      </c>
      <c r="AD6" s="1"/>
      <c r="AE6" s="1" t="s">
        <v>31</v>
      </c>
      <c r="AF6" s="1">
        <v>318</v>
      </c>
      <c r="AG6" s="1" t="s">
        <v>27</v>
      </c>
      <c r="AH6" s="1"/>
      <c r="AI6" s="1" t="s">
        <v>31</v>
      </c>
      <c r="AJ6" s="1">
        <v>318</v>
      </c>
      <c r="AK6" s="1" t="s">
        <v>27</v>
      </c>
      <c r="AL6" s="1"/>
      <c r="AM6" s="1" t="s">
        <v>143</v>
      </c>
      <c r="AN6" s="1">
        <f>2*101+80</f>
        <v>282</v>
      </c>
      <c r="AO6" s="1" t="s">
        <v>142</v>
      </c>
      <c r="AP6" s="1"/>
      <c r="AQ6" s="1"/>
      <c r="AR6" s="1"/>
      <c r="AS6" s="1"/>
      <c r="AT6" s="1"/>
      <c r="AU6" s="1"/>
      <c r="AV6" s="1"/>
    </row>
    <row r="7" spans="1:48">
      <c r="A7" s="1"/>
      <c r="B7" s="1"/>
      <c r="C7" s="1" t="s">
        <v>98</v>
      </c>
      <c r="D7" s="5">
        <v>27432</v>
      </c>
      <c r="E7" s="1" t="s">
        <v>27</v>
      </c>
      <c r="F7" s="1"/>
      <c r="G7" s="1" t="s">
        <v>32</v>
      </c>
      <c r="H7" s="1">
        <v>2344</v>
      </c>
      <c r="I7" s="1" t="s">
        <v>27</v>
      </c>
      <c r="J7" s="1"/>
      <c r="K7" s="1" t="s">
        <v>32</v>
      </c>
      <c r="L7" s="1">
        <v>2344</v>
      </c>
      <c r="M7" s="1" t="s">
        <v>27</v>
      </c>
      <c r="N7" s="1"/>
      <c r="O7" s="1" t="s">
        <v>32</v>
      </c>
      <c r="P7" s="1">
        <v>2344</v>
      </c>
      <c r="Q7" s="1" t="s">
        <v>27</v>
      </c>
      <c r="R7" s="1"/>
      <c r="S7" s="1" t="s">
        <v>44</v>
      </c>
      <c r="T7" s="1">
        <f>T5/(T5+T6)</f>
        <v>2.7168548006352204E-2</v>
      </c>
      <c r="U7" s="1" t="s">
        <v>42</v>
      </c>
      <c r="V7" s="1"/>
      <c r="W7" s="1" t="s">
        <v>112</v>
      </c>
      <c r="X7" s="1">
        <v>319</v>
      </c>
      <c r="Y7" s="1" t="s">
        <v>27</v>
      </c>
      <c r="Z7" s="1"/>
      <c r="AA7" s="1" t="s">
        <v>112</v>
      </c>
      <c r="AB7" s="1">
        <v>319</v>
      </c>
      <c r="AC7" s="1" t="s">
        <v>27</v>
      </c>
      <c r="AD7" s="1"/>
      <c r="AE7" s="1" t="s">
        <v>112</v>
      </c>
      <c r="AF7" s="1">
        <v>319</v>
      </c>
      <c r="AG7" s="1" t="s">
        <v>27</v>
      </c>
      <c r="AH7" s="1"/>
      <c r="AI7" s="1" t="s">
        <v>112</v>
      </c>
      <c r="AJ7" s="1">
        <v>319</v>
      </c>
      <c r="AK7" s="1" t="s">
        <v>27</v>
      </c>
      <c r="AL7" s="1"/>
      <c r="AM7" s="1" t="s">
        <v>144</v>
      </c>
      <c r="AN7" s="1">
        <f>2*9+12</f>
        <v>30</v>
      </c>
      <c r="AO7" s="1" t="s">
        <v>142</v>
      </c>
      <c r="AP7" s="1"/>
      <c r="AQ7" s="1"/>
      <c r="AR7" s="1"/>
      <c r="AS7" s="1"/>
      <c r="AT7" s="1"/>
      <c r="AU7" s="1"/>
      <c r="AV7" s="1"/>
    </row>
    <row r="8" spans="1:48">
      <c r="A8" s="1"/>
      <c r="B8" s="1"/>
      <c r="C8" s="10" t="s">
        <v>99</v>
      </c>
      <c r="D8" s="10">
        <f>D5/D7</f>
        <v>3.8349372995042286</v>
      </c>
      <c r="E8" s="10" t="s">
        <v>101</v>
      </c>
      <c r="F8" s="1"/>
      <c r="G8" s="1" t="s">
        <v>61</v>
      </c>
      <c r="H8" s="1">
        <v>1.6</v>
      </c>
      <c r="I8" s="1" t="s">
        <v>27</v>
      </c>
      <c r="J8" s="1"/>
      <c r="K8" s="1" t="s">
        <v>61</v>
      </c>
      <c r="L8" s="1">
        <v>1.6</v>
      </c>
      <c r="M8" s="1" t="s">
        <v>27</v>
      </c>
      <c r="N8" s="1"/>
      <c r="O8" s="1" t="s">
        <v>61</v>
      </c>
      <c r="P8" s="1">
        <v>1.6</v>
      </c>
      <c r="Q8" s="1" t="s">
        <v>27</v>
      </c>
      <c r="R8" s="1"/>
      <c r="S8" s="1"/>
      <c r="T8" s="1"/>
      <c r="U8" s="1"/>
      <c r="V8" s="1"/>
      <c r="W8" s="1" t="s">
        <v>113</v>
      </c>
      <c r="X8" s="1">
        <v>1910</v>
      </c>
      <c r="Y8" s="1" t="s">
        <v>27</v>
      </c>
      <c r="Z8" s="1"/>
      <c r="AA8" s="1" t="s">
        <v>113</v>
      </c>
      <c r="AB8" s="1">
        <v>1910</v>
      </c>
      <c r="AC8" s="1" t="s">
        <v>27</v>
      </c>
      <c r="AD8" s="1"/>
      <c r="AE8" s="1" t="s">
        <v>113</v>
      </c>
      <c r="AF8" s="1">
        <v>1910</v>
      </c>
      <c r="AG8" s="1" t="s">
        <v>27</v>
      </c>
      <c r="AH8" s="1"/>
      <c r="AI8" s="1" t="s">
        <v>113</v>
      </c>
      <c r="AJ8" s="1">
        <v>1910</v>
      </c>
      <c r="AK8" s="1" t="s">
        <v>27</v>
      </c>
      <c r="AL8" s="1"/>
      <c r="AM8" s="1" t="s">
        <v>145</v>
      </c>
      <c r="AN8" s="1">
        <f>39*2</f>
        <v>78</v>
      </c>
      <c r="AO8" s="1" t="s">
        <v>142</v>
      </c>
      <c r="AP8" s="1"/>
      <c r="AQ8" s="1"/>
      <c r="AR8" s="1"/>
      <c r="AS8" s="1"/>
      <c r="AT8" s="1"/>
      <c r="AU8" s="1"/>
      <c r="AV8" s="1"/>
    </row>
    <row r="9" spans="1:48">
      <c r="A9" s="1"/>
      <c r="B9" s="1"/>
      <c r="C9" s="1" t="s">
        <v>100</v>
      </c>
      <c r="D9" s="1">
        <f>D6/D7</f>
        <v>0.69626713327500733</v>
      </c>
      <c r="E9" s="1" t="s">
        <v>101</v>
      </c>
      <c r="F9" s="1"/>
      <c r="G9" s="1" t="s">
        <v>31</v>
      </c>
      <c r="H9" s="1">
        <v>1254</v>
      </c>
      <c r="I9" s="1" t="s">
        <v>27</v>
      </c>
      <c r="J9" s="1"/>
      <c r="K9" s="1" t="s">
        <v>31</v>
      </c>
      <c r="L9" s="1">
        <v>1254</v>
      </c>
      <c r="M9" s="1" t="s">
        <v>27</v>
      </c>
      <c r="N9" s="1"/>
      <c r="O9" s="1" t="s">
        <v>31</v>
      </c>
      <c r="P9" s="1">
        <v>1254</v>
      </c>
      <c r="Q9" s="1" t="s">
        <v>27</v>
      </c>
      <c r="R9" s="1"/>
      <c r="S9" s="1"/>
      <c r="T9" s="1"/>
      <c r="U9" s="1"/>
      <c r="V9" s="1"/>
      <c r="W9" s="1" t="s">
        <v>114</v>
      </c>
      <c r="X9" s="1">
        <v>583</v>
      </c>
      <c r="Y9" s="1" t="s">
        <v>27</v>
      </c>
      <c r="Z9" s="1"/>
      <c r="AA9" s="1" t="s">
        <v>114</v>
      </c>
      <c r="AB9" s="1">
        <v>583</v>
      </c>
      <c r="AC9" s="1" t="s">
        <v>27</v>
      </c>
      <c r="AD9" s="1"/>
      <c r="AE9" s="1" t="s">
        <v>114</v>
      </c>
      <c r="AF9" s="1">
        <v>583</v>
      </c>
      <c r="AG9" s="1" t="s">
        <v>27</v>
      </c>
      <c r="AH9" s="1"/>
      <c r="AI9" s="1" t="s">
        <v>114</v>
      </c>
      <c r="AJ9" s="1">
        <v>583</v>
      </c>
      <c r="AK9" s="1" t="s">
        <v>27</v>
      </c>
      <c r="AL9" s="1"/>
      <c r="AM9" s="1" t="s">
        <v>146</v>
      </c>
      <c r="AN9" s="1">
        <f>AN6+AN7+AN8</f>
        <v>390</v>
      </c>
      <c r="AO9" s="1" t="s">
        <v>142</v>
      </c>
      <c r="AP9" s="1"/>
      <c r="AQ9" s="1"/>
      <c r="AR9" s="1"/>
      <c r="AS9" s="1"/>
      <c r="AT9" s="1"/>
      <c r="AU9" s="1"/>
      <c r="AV9" s="1"/>
    </row>
    <row r="10" spans="1:48">
      <c r="A10" s="1"/>
      <c r="B10" s="1"/>
      <c r="C10" s="1" t="s">
        <v>176</v>
      </c>
      <c r="D10" s="1">
        <v>6780</v>
      </c>
      <c r="E10" s="1" t="s">
        <v>27</v>
      </c>
      <c r="F10" s="1"/>
      <c r="G10" s="1" t="s">
        <v>62</v>
      </c>
      <c r="H10" s="1">
        <v>46</v>
      </c>
      <c r="I10" s="1" t="s">
        <v>27</v>
      </c>
      <c r="J10" s="1"/>
      <c r="K10" s="1" t="s">
        <v>62</v>
      </c>
      <c r="L10" s="1">
        <v>46</v>
      </c>
      <c r="M10" s="1" t="s">
        <v>27</v>
      </c>
      <c r="N10" s="1"/>
      <c r="O10" s="1" t="s">
        <v>62</v>
      </c>
      <c r="P10" s="1">
        <v>46</v>
      </c>
      <c r="Q10" s="1" t="s">
        <v>27</v>
      </c>
      <c r="R10" s="1"/>
      <c r="S10" s="1"/>
      <c r="T10" s="1"/>
      <c r="U10" s="1"/>
      <c r="V10" s="1"/>
      <c r="W10" s="1" t="s">
        <v>115</v>
      </c>
      <c r="X10" s="1">
        <v>23</v>
      </c>
      <c r="Y10" s="1" t="s">
        <v>27</v>
      </c>
      <c r="Z10" s="1"/>
      <c r="AA10" s="1" t="s">
        <v>115</v>
      </c>
      <c r="AB10" s="1">
        <v>23</v>
      </c>
      <c r="AC10" s="1" t="s">
        <v>27</v>
      </c>
      <c r="AD10" s="1"/>
      <c r="AE10" s="1" t="s">
        <v>115</v>
      </c>
      <c r="AF10" s="1">
        <v>23</v>
      </c>
      <c r="AG10" s="1" t="s">
        <v>27</v>
      </c>
      <c r="AH10" s="1"/>
      <c r="AI10" s="1" t="s">
        <v>115</v>
      </c>
      <c r="AJ10" s="1">
        <v>23</v>
      </c>
      <c r="AK10" s="1" t="s">
        <v>27</v>
      </c>
      <c r="AL10" s="1"/>
      <c r="AM10" s="1" t="s">
        <v>143</v>
      </c>
      <c r="AN10" s="1">
        <f>AN6/3</f>
        <v>94</v>
      </c>
      <c r="AO10" s="1" t="s">
        <v>142</v>
      </c>
      <c r="AP10" s="1"/>
      <c r="AQ10" s="1"/>
      <c r="AR10" s="1"/>
      <c r="AS10" s="1"/>
      <c r="AT10" s="1"/>
      <c r="AU10" s="1"/>
      <c r="AV10" s="1"/>
    </row>
    <row r="11" spans="1:48">
      <c r="A11" s="1"/>
      <c r="B11" s="1"/>
      <c r="C11" s="1" t="s">
        <v>177</v>
      </c>
      <c r="D11" s="10">
        <f>D10/D7</f>
        <v>0.24715660542432197</v>
      </c>
      <c r="E11" s="10" t="s">
        <v>178</v>
      </c>
      <c r="F11" s="1"/>
      <c r="G11" s="1" t="s">
        <v>63</v>
      </c>
      <c r="H11" s="1">
        <v>70</v>
      </c>
      <c r="I11" s="1" t="s">
        <v>27</v>
      </c>
      <c r="J11" s="1"/>
      <c r="K11" s="1" t="s">
        <v>63</v>
      </c>
      <c r="L11" s="1">
        <v>70</v>
      </c>
      <c r="M11" s="1" t="s">
        <v>27</v>
      </c>
      <c r="N11" s="1"/>
      <c r="O11" s="1" t="s">
        <v>63</v>
      </c>
      <c r="P11" s="1">
        <v>70</v>
      </c>
      <c r="Q11" s="1" t="s">
        <v>27</v>
      </c>
      <c r="R11" s="1"/>
      <c r="S11" s="1"/>
      <c r="T11" s="1"/>
      <c r="U11" s="1"/>
      <c r="V11" s="1"/>
      <c r="W11" s="1" t="s">
        <v>116</v>
      </c>
      <c r="X11" s="1">
        <v>384</v>
      </c>
      <c r="Y11" s="1" t="s">
        <v>27</v>
      </c>
      <c r="Z11" s="1"/>
      <c r="AA11" s="1" t="s">
        <v>116</v>
      </c>
      <c r="AB11" s="1">
        <v>384</v>
      </c>
      <c r="AC11" s="1" t="s">
        <v>27</v>
      </c>
      <c r="AD11" s="1"/>
      <c r="AE11" s="1" t="s">
        <v>116</v>
      </c>
      <c r="AF11" s="1">
        <v>384</v>
      </c>
      <c r="AG11" s="1" t="s">
        <v>27</v>
      </c>
      <c r="AH11" s="1"/>
      <c r="AI11" s="1" t="s">
        <v>116</v>
      </c>
      <c r="AJ11" s="1">
        <v>384</v>
      </c>
      <c r="AK11" s="1" t="s">
        <v>27</v>
      </c>
      <c r="AL11" s="1"/>
      <c r="AM11" s="1" t="s">
        <v>145</v>
      </c>
      <c r="AN11" s="1">
        <f>AN8/3</f>
        <v>26</v>
      </c>
      <c r="AO11" s="1" t="s">
        <v>142</v>
      </c>
      <c r="AP11" s="1"/>
      <c r="AQ11" s="1"/>
      <c r="AR11" s="1"/>
      <c r="AS11" s="1"/>
      <c r="AT11" s="1"/>
      <c r="AU11" s="1"/>
      <c r="AV11" s="1"/>
    </row>
    <row r="12" spans="1:48">
      <c r="A12" s="1"/>
      <c r="B12" s="1"/>
      <c r="C12" s="1" t="s">
        <v>179</v>
      </c>
      <c r="D12" s="1">
        <v>1237</v>
      </c>
      <c r="E12" s="1" t="s">
        <v>27</v>
      </c>
      <c r="F12" s="1"/>
      <c r="G12" s="1" t="s">
        <v>33</v>
      </c>
      <c r="H12" s="1">
        <v>31</v>
      </c>
      <c r="I12" s="1" t="s">
        <v>27</v>
      </c>
      <c r="J12" s="1"/>
      <c r="K12" s="1" t="s">
        <v>33</v>
      </c>
      <c r="L12" s="1">
        <v>31</v>
      </c>
      <c r="M12" s="1" t="s">
        <v>27</v>
      </c>
      <c r="N12" s="1"/>
      <c r="O12" s="1" t="s">
        <v>33</v>
      </c>
      <c r="P12" s="1">
        <v>31</v>
      </c>
      <c r="Q12" s="1" t="s">
        <v>27</v>
      </c>
      <c r="R12" s="1"/>
      <c r="S12" s="1"/>
      <c r="T12" s="1"/>
      <c r="U12" s="1"/>
      <c r="V12" s="1"/>
      <c r="W12" s="1" t="s">
        <v>81</v>
      </c>
      <c r="X12" s="1">
        <v>80</v>
      </c>
      <c r="Y12" s="1" t="s">
        <v>22</v>
      </c>
      <c r="Z12" s="1"/>
      <c r="AA12" s="1" t="s">
        <v>81</v>
      </c>
      <c r="AB12" s="1">
        <v>80</v>
      </c>
      <c r="AC12" s="1" t="s">
        <v>22</v>
      </c>
      <c r="AD12" s="1"/>
      <c r="AE12" s="1" t="s">
        <v>81</v>
      </c>
      <c r="AF12" s="1">
        <v>80</v>
      </c>
      <c r="AG12" s="1" t="s">
        <v>22</v>
      </c>
      <c r="AH12" s="1"/>
      <c r="AI12" s="1" t="s">
        <v>81</v>
      </c>
      <c r="AJ12" s="1">
        <v>80</v>
      </c>
      <c r="AK12" s="1" t="s">
        <v>22</v>
      </c>
      <c r="AL12" s="1"/>
      <c r="AM12" s="1" t="s">
        <v>147</v>
      </c>
      <c r="AN12" s="1">
        <v>39</v>
      </c>
      <c r="AO12" s="1" t="s">
        <v>142</v>
      </c>
      <c r="AP12" s="1"/>
      <c r="AQ12" s="1"/>
      <c r="AR12" s="1"/>
      <c r="AS12" s="1"/>
      <c r="AT12" s="1"/>
      <c r="AU12" s="1"/>
      <c r="AV12" s="1"/>
    </row>
    <row r="13" spans="1:48">
      <c r="A13" s="1"/>
      <c r="B13" s="1"/>
      <c r="C13" s="1" t="s">
        <v>180</v>
      </c>
      <c r="D13" s="1">
        <f>D12/D7</f>
        <v>4.5093321668124818E-2</v>
      </c>
      <c r="E13" s="1" t="s">
        <v>178</v>
      </c>
      <c r="F13" s="1"/>
      <c r="G13" s="1" t="s">
        <v>34</v>
      </c>
      <c r="H13" s="1">
        <v>16</v>
      </c>
      <c r="I13" s="1" t="s">
        <v>27</v>
      </c>
      <c r="J13" s="1"/>
      <c r="K13" s="1" t="s">
        <v>34</v>
      </c>
      <c r="L13" s="1">
        <v>16</v>
      </c>
      <c r="M13" s="1" t="s">
        <v>27</v>
      </c>
      <c r="N13" s="1"/>
      <c r="O13" s="1" t="s">
        <v>34</v>
      </c>
      <c r="P13" s="1">
        <v>16</v>
      </c>
      <c r="Q13" s="1" t="s">
        <v>27</v>
      </c>
      <c r="R13" s="1"/>
      <c r="S13" s="1"/>
      <c r="T13" s="1"/>
      <c r="U13" s="1"/>
      <c r="V13" s="1"/>
      <c r="W13" s="1" t="s">
        <v>117</v>
      </c>
      <c r="X13" s="1">
        <v>0.05</v>
      </c>
      <c r="Y13" s="1" t="s">
        <v>27</v>
      </c>
      <c r="Z13" s="1"/>
      <c r="AA13" s="1" t="s">
        <v>117</v>
      </c>
      <c r="AB13" s="1">
        <v>0.05</v>
      </c>
      <c r="AC13" s="1" t="s">
        <v>27</v>
      </c>
      <c r="AD13" s="1"/>
      <c r="AE13" s="1" t="s">
        <v>117</v>
      </c>
      <c r="AF13" s="1">
        <v>0.05</v>
      </c>
      <c r="AG13" s="1" t="s">
        <v>27</v>
      </c>
      <c r="AH13" s="1"/>
      <c r="AI13" s="1" t="s">
        <v>117</v>
      </c>
      <c r="AJ13" s="1">
        <v>0.05</v>
      </c>
      <c r="AK13" s="1" t="s">
        <v>27</v>
      </c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</row>
    <row r="14" spans="1:48">
      <c r="A14" s="1"/>
      <c r="B14" s="1"/>
      <c r="C14" s="1"/>
      <c r="D14" s="1"/>
      <c r="E14" s="1"/>
      <c r="F14" s="1"/>
      <c r="G14" s="1" t="s">
        <v>65</v>
      </c>
      <c r="H14" s="1">
        <v>2.4E-2</v>
      </c>
      <c r="I14" s="1" t="s">
        <v>27</v>
      </c>
      <c r="J14" s="1"/>
      <c r="K14" s="1" t="s">
        <v>65</v>
      </c>
      <c r="L14" s="1">
        <v>2.4E-2</v>
      </c>
      <c r="M14" s="1" t="s">
        <v>27</v>
      </c>
      <c r="N14" s="1"/>
      <c r="O14" s="1" t="s">
        <v>65</v>
      </c>
      <c r="P14" s="1">
        <v>2.4E-2</v>
      </c>
      <c r="Q14" s="1" t="s">
        <v>27</v>
      </c>
      <c r="R14" s="1"/>
      <c r="S14" s="1"/>
      <c r="T14" s="1"/>
      <c r="U14" s="1"/>
      <c r="V14" s="1"/>
      <c r="W14" s="1" t="s">
        <v>118</v>
      </c>
      <c r="X14" s="1">
        <v>0.03</v>
      </c>
      <c r="Y14" s="1" t="s">
        <v>27</v>
      </c>
      <c r="Z14" s="1"/>
      <c r="AA14" s="1" t="s">
        <v>118</v>
      </c>
      <c r="AB14" s="1">
        <v>0.03</v>
      </c>
      <c r="AC14" s="1" t="s">
        <v>27</v>
      </c>
      <c r="AD14" s="1"/>
      <c r="AE14" s="1" t="s">
        <v>118</v>
      </c>
      <c r="AF14" s="1">
        <v>0.03</v>
      </c>
      <c r="AG14" s="1" t="s">
        <v>27</v>
      </c>
      <c r="AH14" s="1"/>
      <c r="AI14" s="1" t="s">
        <v>118</v>
      </c>
      <c r="AJ14" s="1">
        <v>0.03</v>
      </c>
      <c r="AK14" s="1" t="s">
        <v>27</v>
      </c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</row>
    <row r="15" spans="1:48">
      <c r="A15" s="1"/>
      <c r="B15" s="1"/>
      <c r="C15" s="10"/>
      <c r="D15" s="10"/>
      <c r="E15" s="10"/>
      <c r="F15" s="1"/>
      <c r="G15" s="1" t="s">
        <v>66</v>
      </c>
      <c r="H15" s="1">
        <v>1.2999999999999999E-2</v>
      </c>
      <c r="I15" s="1" t="s">
        <v>27</v>
      </c>
      <c r="J15" s="1"/>
      <c r="K15" s="1" t="s">
        <v>66</v>
      </c>
      <c r="L15" s="1">
        <v>1.2999999999999999E-2</v>
      </c>
      <c r="M15" s="1" t="s">
        <v>27</v>
      </c>
      <c r="N15" s="1"/>
      <c r="O15" s="1" t="s">
        <v>66</v>
      </c>
      <c r="P15" s="1">
        <v>1.2999999999999999E-2</v>
      </c>
      <c r="Q15" s="1" t="s">
        <v>27</v>
      </c>
      <c r="R15" s="1"/>
      <c r="S15" s="1"/>
      <c r="T15" s="1"/>
      <c r="U15" s="1"/>
      <c r="V15" s="1"/>
      <c r="W15" s="1" t="s">
        <v>119</v>
      </c>
      <c r="X15" s="5">
        <v>3200</v>
      </c>
      <c r="Y15" s="1"/>
      <c r="Z15" s="1"/>
      <c r="AA15" s="1" t="s">
        <v>119</v>
      </c>
      <c r="AB15" s="5">
        <v>3200</v>
      </c>
      <c r="AC15" s="1"/>
      <c r="AD15" s="1"/>
      <c r="AE15" s="1" t="s">
        <v>119</v>
      </c>
      <c r="AF15" s="5">
        <v>3200</v>
      </c>
      <c r="AG15" s="1"/>
      <c r="AH15" s="1"/>
      <c r="AI15" s="1" t="s">
        <v>119</v>
      </c>
      <c r="AJ15" s="5">
        <v>3200</v>
      </c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</row>
    <row r="16" spans="1:48">
      <c r="A16" s="1"/>
      <c r="B16" s="1"/>
      <c r="C16" s="1"/>
      <c r="D16" s="1"/>
      <c r="E16" s="1"/>
      <c r="F16" s="1"/>
      <c r="G16" s="1" t="s">
        <v>67</v>
      </c>
      <c r="H16" s="1">
        <v>6.5000000000000002E-2</v>
      </c>
      <c r="I16" s="1" t="s">
        <v>27</v>
      </c>
      <c r="J16" s="1"/>
      <c r="K16" s="1" t="s">
        <v>67</v>
      </c>
      <c r="L16" s="1">
        <v>6.5000000000000002E-2</v>
      </c>
      <c r="M16" s="1" t="s">
        <v>27</v>
      </c>
      <c r="N16" s="1"/>
      <c r="O16" s="1" t="s">
        <v>67</v>
      </c>
      <c r="P16" s="1">
        <v>6.5000000000000002E-2</v>
      </c>
      <c r="Q16" s="1" t="s">
        <v>27</v>
      </c>
      <c r="R16" s="1"/>
      <c r="S16" s="1"/>
      <c r="T16" s="1"/>
      <c r="U16" s="1"/>
      <c r="V16" s="1"/>
      <c r="W16" s="1" t="s">
        <v>120</v>
      </c>
      <c r="X16" s="1">
        <f>X13*X15</f>
        <v>160</v>
      </c>
      <c r="Y16" s="1" t="s">
        <v>27</v>
      </c>
      <c r="Z16" s="1"/>
      <c r="AA16" s="1" t="s">
        <v>120</v>
      </c>
      <c r="AB16" s="1">
        <f>AB13*AB15</f>
        <v>160</v>
      </c>
      <c r="AC16" s="1" t="s">
        <v>27</v>
      </c>
      <c r="AD16" s="1"/>
      <c r="AE16" s="1" t="s">
        <v>120</v>
      </c>
      <c r="AF16" s="1">
        <f>AF13*AF15</f>
        <v>160</v>
      </c>
      <c r="AG16" s="1" t="s">
        <v>27</v>
      </c>
      <c r="AH16" s="1"/>
      <c r="AI16" s="1" t="s">
        <v>120</v>
      </c>
      <c r="AJ16" s="1">
        <f>AJ13*AJ15</f>
        <v>160</v>
      </c>
      <c r="AK16" s="1" t="s">
        <v>27</v>
      </c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</row>
    <row r="17" spans="1:48">
      <c r="A17" s="1"/>
      <c r="B17" s="1"/>
      <c r="C17" s="1"/>
      <c r="D17" s="1"/>
      <c r="E17" s="1"/>
      <c r="F17" s="1"/>
      <c r="G17" s="1" t="s">
        <v>68</v>
      </c>
      <c r="H17" s="5">
        <v>1278</v>
      </c>
      <c r="I17" s="1"/>
      <c r="J17" s="1"/>
      <c r="K17" s="1" t="s">
        <v>68</v>
      </c>
      <c r="L17" s="5">
        <v>1278</v>
      </c>
      <c r="M17" s="1"/>
      <c r="N17" s="1"/>
      <c r="O17" s="1" t="s">
        <v>68</v>
      </c>
      <c r="P17" s="5">
        <v>1278</v>
      </c>
      <c r="Q17" s="1"/>
      <c r="R17" s="1"/>
      <c r="S17" s="1"/>
      <c r="T17" s="1"/>
      <c r="U17" s="1"/>
      <c r="V17" s="1"/>
      <c r="W17" s="1" t="s">
        <v>121</v>
      </c>
      <c r="X17" s="1">
        <f>X14*X15</f>
        <v>96</v>
      </c>
      <c r="Y17" s="1" t="s">
        <v>27</v>
      </c>
      <c r="Z17" s="1"/>
      <c r="AA17" s="1" t="s">
        <v>121</v>
      </c>
      <c r="AB17" s="1">
        <f>AB14*AB15</f>
        <v>96</v>
      </c>
      <c r="AC17" s="1" t="s">
        <v>27</v>
      </c>
      <c r="AD17" s="1"/>
      <c r="AE17" s="1" t="s">
        <v>121</v>
      </c>
      <c r="AF17" s="1">
        <f>AF14*AF15</f>
        <v>96</v>
      </c>
      <c r="AG17" s="1" t="s">
        <v>27</v>
      </c>
      <c r="AH17" s="1"/>
      <c r="AI17" s="1" t="s">
        <v>121</v>
      </c>
      <c r="AJ17" s="1">
        <f>AJ14*AJ15</f>
        <v>96</v>
      </c>
      <c r="AK17" s="1" t="s">
        <v>27</v>
      </c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</row>
    <row r="18" spans="1:48">
      <c r="A18" s="1"/>
      <c r="B18" s="1"/>
      <c r="C18" s="24"/>
      <c r="D18" s="24"/>
      <c r="E18" s="24"/>
      <c r="F18" s="1"/>
      <c r="G18" s="1" t="s">
        <v>69</v>
      </c>
      <c r="H18" s="1">
        <f>H14*$H$17</f>
        <v>30.672000000000001</v>
      </c>
      <c r="I18" s="1" t="s">
        <v>27</v>
      </c>
      <c r="J18" s="1"/>
      <c r="K18" s="1" t="s">
        <v>69</v>
      </c>
      <c r="L18" s="1">
        <f>L14*$L$17</f>
        <v>30.672000000000001</v>
      </c>
      <c r="M18" s="1" t="s">
        <v>27</v>
      </c>
      <c r="N18" s="1"/>
      <c r="O18" s="1" t="s">
        <v>69</v>
      </c>
      <c r="P18" s="1">
        <f>P14*P17</f>
        <v>30.672000000000001</v>
      </c>
      <c r="Q18" s="1" t="s">
        <v>27</v>
      </c>
      <c r="R18" s="1"/>
      <c r="S18" s="1"/>
      <c r="T18" s="1"/>
      <c r="U18" s="1"/>
      <c r="V18" s="1"/>
      <c r="W18" s="1" t="s">
        <v>64</v>
      </c>
      <c r="X18" s="1">
        <f>SUM(X5:X11)-X16-X17</f>
        <v>3361</v>
      </c>
      <c r="Y18" s="1" t="s">
        <v>27</v>
      </c>
      <c r="Z18" s="1"/>
      <c r="AA18" s="1" t="s">
        <v>64</v>
      </c>
      <c r="AB18" s="1">
        <f>SUM(AB5:AB11)-AB16-AB17</f>
        <v>3361</v>
      </c>
      <c r="AC18" s="1" t="s">
        <v>27</v>
      </c>
      <c r="AD18" s="1"/>
      <c r="AE18" s="1" t="s">
        <v>64</v>
      </c>
      <c r="AF18" s="1">
        <f>SUM(AF5:AF11)-AF16-AF17</f>
        <v>3361</v>
      </c>
      <c r="AG18" s="1" t="s">
        <v>27</v>
      </c>
      <c r="AH18" s="1"/>
      <c r="AI18" s="1" t="s">
        <v>64</v>
      </c>
      <c r="AJ18" s="1">
        <f>SUM(AJ5:AJ11)-AJ16-AJ17</f>
        <v>3361</v>
      </c>
      <c r="AK18" s="1" t="s">
        <v>27</v>
      </c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</row>
    <row r="19" spans="1:48">
      <c r="A19" s="1"/>
      <c r="B19" s="1"/>
      <c r="C19" s="1"/>
      <c r="D19" s="1"/>
      <c r="E19" s="1"/>
      <c r="F19" s="1"/>
      <c r="G19" s="1" t="s">
        <v>70</v>
      </c>
      <c r="H19" s="1">
        <f t="shared" ref="H19" si="0">H15*$H$17</f>
        <v>16.614000000000001</v>
      </c>
      <c r="I19" s="1" t="s">
        <v>27</v>
      </c>
      <c r="J19" s="1"/>
      <c r="K19" s="1" t="s">
        <v>70</v>
      </c>
      <c r="L19" s="1">
        <f t="shared" ref="L19:L20" si="1">L15*$L$17</f>
        <v>16.614000000000001</v>
      </c>
      <c r="M19" s="1" t="s">
        <v>27</v>
      </c>
      <c r="N19" s="1"/>
      <c r="O19" s="1" t="s">
        <v>70</v>
      </c>
      <c r="P19" s="1">
        <f>P15*P17</f>
        <v>16.614000000000001</v>
      </c>
      <c r="Q19" s="1" t="s">
        <v>27</v>
      </c>
      <c r="R19" s="1"/>
      <c r="S19" s="1"/>
      <c r="T19" s="1"/>
      <c r="U19" s="1"/>
      <c r="V19" s="1"/>
      <c r="W19" s="1" t="s">
        <v>29</v>
      </c>
      <c r="X19" s="1">
        <v>3318.16</v>
      </c>
      <c r="Y19" s="1" t="s">
        <v>27</v>
      </c>
      <c r="Z19" s="1"/>
      <c r="AA19" s="1" t="s">
        <v>29</v>
      </c>
      <c r="AB19" s="1">
        <v>3878.16</v>
      </c>
      <c r="AC19" s="1" t="s">
        <v>27</v>
      </c>
      <c r="AD19" s="1"/>
      <c r="AE19" s="1" t="s">
        <v>29</v>
      </c>
      <c r="AF19" s="1">
        <v>2393.2800000000002</v>
      </c>
      <c r="AG19" s="1" t="s">
        <v>27</v>
      </c>
      <c r="AH19" s="1"/>
      <c r="AI19" s="1" t="s">
        <v>29</v>
      </c>
      <c r="AJ19" s="1">
        <v>3091.6000000000004</v>
      </c>
      <c r="AK19" s="1" t="s">
        <v>27</v>
      </c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</row>
    <row r="20" spans="1:48">
      <c r="A20" s="1"/>
      <c r="B20" s="1"/>
      <c r="C20" s="1"/>
      <c r="D20" s="1"/>
      <c r="E20" s="1"/>
      <c r="F20" s="1"/>
      <c r="G20" s="1" t="s">
        <v>71</v>
      </c>
      <c r="H20" s="1">
        <f>H16*$H$17</f>
        <v>83.070000000000007</v>
      </c>
      <c r="I20" s="1" t="s">
        <v>27</v>
      </c>
      <c r="J20" s="9"/>
      <c r="K20" s="1" t="s">
        <v>71</v>
      </c>
      <c r="L20" s="1">
        <f t="shared" si="1"/>
        <v>83.070000000000007</v>
      </c>
      <c r="M20" s="1" t="s">
        <v>27</v>
      </c>
      <c r="N20" s="1"/>
      <c r="O20" s="1" t="s">
        <v>71</v>
      </c>
      <c r="P20" s="1">
        <f>P16*P17</f>
        <v>83.070000000000007</v>
      </c>
      <c r="Q20" s="1" t="s">
        <v>27</v>
      </c>
      <c r="R20" s="1"/>
      <c r="S20" s="1"/>
      <c r="T20" s="1"/>
      <c r="U20" s="1"/>
      <c r="V20" s="1"/>
      <c r="W20" s="1" t="s">
        <v>40</v>
      </c>
      <c r="X20" s="5">
        <f>X19/X18</f>
        <v>0.98725379351383513</v>
      </c>
      <c r="Y20" s="1"/>
      <c r="Z20" s="1"/>
      <c r="AA20" s="1" t="s">
        <v>40</v>
      </c>
      <c r="AB20" s="5">
        <f>AB19/AB18</f>
        <v>1.1538708717643558</v>
      </c>
      <c r="AC20" s="1"/>
      <c r="AD20" s="1"/>
      <c r="AE20" s="1" t="s">
        <v>40</v>
      </c>
      <c r="AF20" s="5">
        <f>AF19/AF18</f>
        <v>0.71207378756322526</v>
      </c>
      <c r="AG20" s="1"/>
      <c r="AH20" s="1"/>
      <c r="AI20" s="1" t="s">
        <v>40</v>
      </c>
      <c r="AJ20" s="5">
        <f>AJ19/AJ18</f>
        <v>0.91984528414162459</v>
      </c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</row>
    <row r="21" spans="1:48">
      <c r="A21" s="1"/>
      <c r="B21" s="1"/>
      <c r="C21" s="1"/>
      <c r="D21" s="1"/>
      <c r="E21" s="1"/>
      <c r="F21" s="1"/>
      <c r="G21" s="1" t="s">
        <v>64</v>
      </c>
      <c r="H21" s="1">
        <f>SUM(H5:H10)+H12+H13-H18-H19-H20</f>
        <v>11340.244000000001</v>
      </c>
      <c r="I21" s="1" t="s">
        <v>27</v>
      </c>
      <c r="J21" s="1"/>
      <c r="K21" s="1" t="s">
        <v>64</v>
      </c>
      <c r="L21" s="1">
        <f>SUM(L5:L10)+L12+L13-L18-L19-L20</f>
        <v>11340.244000000001</v>
      </c>
      <c r="M21" s="1" t="s">
        <v>27</v>
      </c>
      <c r="N21" s="1"/>
      <c r="O21" s="1" t="s">
        <v>64</v>
      </c>
      <c r="P21" s="1">
        <f>SUM(P5:P10)+P12+P13-P18-P19-P20</f>
        <v>11340.244000000001</v>
      </c>
      <c r="Q21" s="1" t="s">
        <v>27</v>
      </c>
      <c r="R21" s="1"/>
      <c r="S21" s="1"/>
      <c r="T21" s="1"/>
      <c r="U21" s="1"/>
      <c r="V21" s="1"/>
      <c r="W21" s="1" t="s">
        <v>76</v>
      </c>
      <c r="X21" s="1">
        <f>$X$20*X5</f>
        <v>78.980303481106816</v>
      </c>
      <c r="Y21" s="1" t="s">
        <v>27</v>
      </c>
      <c r="Z21" s="1"/>
      <c r="AA21" s="1" t="s">
        <v>76</v>
      </c>
      <c r="AB21" s="1">
        <f>$AB$20*AB5</f>
        <v>92.309669741148468</v>
      </c>
      <c r="AC21" s="1" t="s">
        <v>27</v>
      </c>
      <c r="AD21" s="1"/>
      <c r="AE21" s="1" t="s">
        <v>76</v>
      </c>
      <c r="AF21" s="1">
        <f>$AF$20*AF5</f>
        <v>56.965903005058024</v>
      </c>
      <c r="AG21" s="1" t="s">
        <v>27</v>
      </c>
      <c r="AH21" s="1"/>
      <c r="AI21" s="1" t="s">
        <v>76</v>
      </c>
      <c r="AJ21" s="1">
        <f>$AJ$20*AJ5</f>
        <v>73.587622731329972</v>
      </c>
      <c r="AK21" s="1" t="s">
        <v>27</v>
      </c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</row>
    <row r="22" spans="1:48">
      <c r="A22" s="1"/>
      <c r="B22" s="1"/>
      <c r="C22" s="10"/>
      <c r="D22" s="10"/>
      <c r="E22" s="10"/>
      <c r="F22" s="1"/>
      <c r="G22" s="1" t="s">
        <v>57</v>
      </c>
      <c r="H22" s="1">
        <v>5050</v>
      </c>
      <c r="I22" s="1" t="s">
        <v>27</v>
      </c>
      <c r="J22" s="1"/>
      <c r="K22" s="1" t="s">
        <v>47</v>
      </c>
      <c r="L22" s="1">
        <v>594.69999999999993</v>
      </c>
      <c r="M22" s="1" t="s">
        <v>27</v>
      </c>
      <c r="N22" s="1"/>
      <c r="O22" s="1" t="s">
        <v>57</v>
      </c>
      <c r="P22" s="1">
        <v>2581</v>
      </c>
      <c r="Q22" s="1" t="s">
        <v>27</v>
      </c>
      <c r="R22" s="1"/>
      <c r="S22" s="1"/>
      <c r="T22" s="1"/>
      <c r="U22" s="1"/>
      <c r="V22" s="1"/>
      <c r="W22" s="1" t="s">
        <v>36</v>
      </c>
      <c r="X22" s="1">
        <f t="shared" ref="X22:X27" si="2">$X$20*X6</f>
        <v>313.94670633739958</v>
      </c>
      <c r="Y22" s="1" t="s">
        <v>27</v>
      </c>
      <c r="Z22" s="1"/>
      <c r="AA22" s="1" t="s">
        <v>36</v>
      </c>
      <c r="AB22" s="1">
        <f t="shared" ref="AB22:AB28" si="3">$AB$20*AB6</f>
        <v>366.93093722106511</v>
      </c>
      <c r="AC22" s="1" t="s">
        <v>27</v>
      </c>
      <c r="AD22" s="1"/>
      <c r="AE22" s="1" t="s">
        <v>36</v>
      </c>
      <c r="AF22" s="1">
        <f t="shared" ref="AF22:AF28" si="4">$AF$20*AF6</f>
        <v>226.43946444510564</v>
      </c>
      <c r="AG22" s="1" t="s">
        <v>27</v>
      </c>
      <c r="AH22" s="1"/>
      <c r="AI22" s="1" t="s">
        <v>36</v>
      </c>
      <c r="AJ22" s="1">
        <f t="shared" ref="AJ22:AJ28" si="5">$AJ$20*AJ6</f>
        <v>292.5108003570366</v>
      </c>
      <c r="AK22" s="1" t="s">
        <v>27</v>
      </c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</row>
    <row r="23" spans="1:48">
      <c r="A23" s="1"/>
      <c r="B23" s="1"/>
      <c r="C23" s="1"/>
      <c r="D23" s="1"/>
      <c r="E23" s="1"/>
      <c r="F23" s="1"/>
      <c r="G23" s="1" t="s">
        <v>40</v>
      </c>
      <c r="H23" s="5">
        <f>H22/H21</f>
        <v>0.44531669688941433</v>
      </c>
      <c r="I23" s="1"/>
      <c r="J23" s="1"/>
      <c r="K23" s="1" t="s">
        <v>40</v>
      </c>
      <c r="L23" s="5">
        <f>L22/L21</f>
        <v>5.2441552403987068E-2</v>
      </c>
      <c r="M23" s="1"/>
      <c r="N23" s="1"/>
      <c r="O23" s="1" t="s">
        <v>40</v>
      </c>
      <c r="P23" s="5">
        <f>P22/P21</f>
        <v>0.22759651379635218</v>
      </c>
      <c r="Q23" s="1"/>
      <c r="R23" s="1"/>
      <c r="S23" s="1"/>
      <c r="T23" s="1"/>
      <c r="U23" s="1"/>
      <c r="V23" s="1"/>
      <c r="W23" s="1" t="s">
        <v>122</v>
      </c>
      <c r="X23" s="1">
        <f t="shared" si="2"/>
        <v>314.93396013091342</v>
      </c>
      <c r="Y23" s="1" t="s">
        <v>27</v>
      </c>
      <c r="Z23" s="1"/>
      <c r="AA23" s="1" t="s">
        <v>122</v>
      </c>
      <c r="AB23" s="1">
        <f>$AB$20*AB7</f>
        <v>368.08480809282946</v>
      </c>
      <c r="AC23" s="1" t="s">
        <v>27</v>
      </c>
      <c r="AD23" s="1"/>
      <c r="AE23" s="1" t="s">
        <v>122</v>
      </c>
      <c r="AF23" s="1">
        <f t="shared" si="4"/>
        <v>227.15153823266886</v>
      </c>
      <c r="AG23" s="1" t="s">
        <v>27</v>
      </c>
      <c r="AH23" s="1"/>
      <c r="AI23" s="1" t="s">
        <v>122</v>
      </c>
      <c r="AJ23" s="1">
        <f t="shared" si="5"/>
        <v>293.43064564117822</v>
      </c>
      <c r="AK23" s="1" t="s">
        <v>27</v>
      </c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</row>
    <row r="24" spans="1:48">
      <c r="A24" s="1"/>
      <c r="B24" s="1"/>
      <c r="C24" s="1"/>
      <c r="D24" s="1"/>
      <c r="E24" s="1"/>
      <c r="F24" s="1"/>
      <c r="G24" s="1" t="s">
        <v>35</v>
      </c>
      <c r="H24" s="9">
        <f>$H$23*H5</f>
        <v>2887.4334626309624</v>
      </c>
      <c r="I24" s="1" t="s">
        <v>27</v>
      </c>
      <c r="J24" s="9"/>
      <c r="K24" s="1" t="s">
        <v>48</v>
      </c>
      <c r="L24" s="9">
        <f>$L$23*L5</f>
        <v>340.03102578745217</v>
      </c>
      <c r="M24" s="1" t="s">
        <v>27</v>
      </c>
      <c r="N24" s="1"/>
      <c r="O24" s="1" t="s">
        <v>35</v>
      </c>
      <c r="P24" s="9">
        <f>$P$23*P5</f>
        <v>1475.7357954555475</v>
      </c>
      <c r="Q24" s="1" t="s">
        <v>27</v>
      </c>
      <c r="R24" s="1"/>
      <c r="S24" s="1"/>
      <c r="T24" s="1"/>
      <c r="U24" s="1"/>
      <c r="V24" s="1"/>
      <c r="W24" s="1" t="s">
        <v>123</v>
      </c>
      <c r="X24" s="1">
        <f>$X$20*X8</f>
        <v>1885.6547456114251</v>
      </c>
      <c r="Y24" s="1" t="s">
        <v>27</v>
      </c>
      <c r="Z24" s="1"/>
      <c r="AA24" s="1" t="s">
        <v>123</v>
      </c>
      <c r="AB24" s="1">
        <f t="shared" si="3"/>
        <v>2203.8933650699196</v>
      </c>
      <c r="AC24" s="1" t="s">
        <v>27</v>
      </c>
      <c r="AD24" s="1"/>
      <c r="AE24" s="1" t="s">
        <v>123</v>
      </c>
      <c r="AF24" s="1">
        <f t="shared" si="4"/>
        <v>1360.0609342457603</v>
      </c>
      <c r="AG24" s="1" t="s">
        <v>27</v>
      </c>
      <c r="AH24" s="1"/>
      <c r="AI24" s="1" t="s">
        <v>123</v>
      </c>
      <c r="AJ24" s="1">
        <f>$AJ$20*AJ8</f>
        <v>1756.9044927105031</v>
      </c>
      <c r="AK24" s="1" t="s">
        <v>27</v>
      </c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</row>
    <row r="25" spans="1:48">
      <c r="A25" s="1"/>
      <c r="B25" s="1"/>
      <c r="C25" s="24"/>
      <c r="D25" s="24"/>
      <c r="E25" s="24"/>
      <c r="F25" s="1"/>
      <c r="G25" s="1" t="s">
        <v>75</v>
      </c>
      <c r="H25" s="9">
        <f t="shared" ref="H25:H31" si="6">$H$23*H6</f>
        <v>576.23980577490215</v>
      </c>
      <c r="I25" s="1" t="s">
        <v>27</v>
      </c>
      <c r="J25" s="9"/>
      <c r="K25" s="1" t="s">
        <v>86</v>
      </c>
      <c r="L25" s="9">
        <f t="shared" ref="L25:L32" si="7">$L$23*L6</f>
        <v>67.859368810759264</v>
      </c>
      <c r="M25" s="1" t="s">
        <v>27</v>
      </c>
      <c r="N25" s="1"/>
      <c r="O25" s="1" t="s">
        <v>75</v>
      </c>
      <c r="P25" s="9">
        <f t="shared" ref="P25:P32" si="8">$P$23*P6</f>
        <v>294.50988885247972</v>
      </c>
      <c r="Q25" s="1" t="s">
        <v>27</v>
      </c>
      <c r="R25" s="1"/>
      <c r="S25" s="1"/>
      <c r="T25" s="1"/>
      <c r="U25" s="1"/>
      <c r="V25" s="1"/>
      <c r="W25" s="1" t="s">
        <v>124</v>
      </c>
      <c r="X25" s="1">
        <f>$X$20*X9</f>
        <v>575.56896161856594</v>
      </c>
      <c r="Y25" s="1" t="s">
        <v>27</v>
      </c>
      <c r="Z25" s="1"/>
      <c r="AA25" s="1" t="s">
        <v>124</v>
      </c>
      <c r="AB25" s="1">
        <f>$AB$20*AB9</f>
        <v>672.70671823861937</v>
      </c>
      <c r="AC25" s="1" t="s">
        <v>27</v>
      </c>
      <c r="AD25" s="1"/>
      <c r="AE25" s="1" t="s">
        <v>124</v>
      </c>
      <c r="AF25" s="1">
        <f t="shared" si="4"/>
        <v>415.13901814936031</v>
      </c>
      <c r="AG25" s="1" t="s">
        <v>27</v>
      </c>
      <c r="AH25" s="1"/>
      <c r="AI25" s="1" t="s">
        <v>124</v>
      </c>
      <c r="AJ25" s="1">
        <f t="shared" si="5"/>
        <v>536.26980065456712</v>
      </c>
      <c r="AK25" s="1" t="s">
        <v>27</v>
      </c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</row>
    <row r="26" spans="1:48">
      <c r="A26" s="1"/>
      <c r="B26" s="1"/>
      <c r="C26" s="1"/>
      <c r="D26" s="1"/>
      <c r="E26" s="1"/>
      <c r="F26" s="1"/>
      <c r="G26" s="1" t="s">
        <v>37</v>
      </c>
      <c r="H26" s="9">
        <f t="shared" si="6"/>
        <v>1043.8223375087871</v>
      </c>
      <c r="I26" s="1" t="s">
        <v>27</v>
      </c>
      <c r="J26" s="9"/>
      <c r="K26" s="1" t="s">
        <v>50</v>
      </c>
      <c r="L26" s="9">
        <f t="shared" si="7"/>
        <v>122.92299883494569</v>
      </c>
      <c r="M26" s="1" t="s">
        <v>27</v>
      </c>
      <c r="N26" s="1"/>
      <c r="O26" s="1" t="s">
        <v>37</v>
      </c>
      <c r="P26" s="9">
        <f t="shared" si="8"/>
        <v>533.48622833864954</v>
      </c>
      <c r="Q26" s="1" t="s">
        <v>27</v>
      </c>
      <c r="R26" s="1"/>
      <c r="S26" s="1"/>
      <c r="T26" s="1"/>
      <c r="U26" s="1"/>
      <c r="V26" s="1"/>
      <c r="W26" s="1" t="s">
        <v>125</v>
      </c>
      <c r="X26" s="1">
        <f t="shared" si="2"/>
        <v>22.706837250818207</v>
      </c>
      <c r="Y26" s="1" t="s">
        <v>27</v>
      </c>
      <c r="Z26" s="1"/>
      <c r="AA26" s="1" t="s">
        <v>125</v>
      </c>
      <c r="AB26" s="1">
        <f t="shared" si="3"/>
        <v>26.539030050580184</v>
      </c>
      <c r="AC26" s="1" t="s">
        <v>27</v>
      </c>
      <c r="AD26" s="1"/>
      <c r="AE26" s="1" t="s">
        <v>125</v>
      </c>
      <c r="AF26" s="1">
        <f t="shared" si="4"/>
        <v>16.377697113954181</v>
      </c>
      <c r="AG26" s="1" t="s">
        <v>27</v>
      </c>
      <c r="AH26" s="1"/>
      <c r="AI26" s="1" t="s">
        <v>125</v>
      </c>
      <c r="AJ26" s="1">
        <f t="shared" si="5"/>
        <v>21.156441535257365</v>
      </c>
      <c r="AK26" s="1" t="s">
        <v>27</v>
      </c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</row>
    <row r="27" spans="1:48">
      <c r="A27" s="1"/>
      <c r="B27" s="1"/>
      <c r="C27" s="1"/>
      <c r="D27" s="1"/>
      <c r="E27" s="1"/>
      <c r="F27" s="1"/>
      <c r="G27" s="1" t="s">
        <v>76</v>
      </c>
      <c r="H27" s="9">
        <f t="shared" si="6"/>
        <v>0.71250671502306295</v>
      </c>
      <c r="I27" s="1" t="s">
        <v>27</v>
      </c>
      <c r="J27" s="9"/>
      <c r="K27" s="1" t="s">
        <v>87</v>
      </c>
      <c r="L27" s="9">
        <f t="shared" si="7"/>
        <v>8.3906483846379318E-2</v>
      </c>
      <c r="M27" s="1" t="s">
        <v>27</v>
      </c>
      <c r="N27" s="1"/>
      <c r="O27" s="1" t="s">
        <v>76</v>
      </c>
      <c r="P27" s="9">
        <f t="shared" si="8"/>
        <v>0.36415442207416349</v>
      </c>
      <c r="Q27" s="1" t="s">
        <v>27</v>
      </c>
      <c r="R27" s="1"/>
      <c r="S27" s="1"/>
      <c r="T27" s="1"/>
      <c r="U27" s="1"/>
      <c r="V27" s="1"/>
      <c r="W27" s="1" t="s">
        <v>126</v>
      </c>
      <c r="X27" s="1">
        <f t="shared" si="2"/>
        <v>379.1054567093127</v>
      </c>
      <c r="Y27" s="1" t="s">
        <v>27</v>
      </c>
      <c r="Z27" s="1"/>
      <c r="AA27" s="1" t="s">
        <v>126</v>
      </c>
      <c r="AB27" s="1">
        <f t="shared" si="3"/>
        <v>443.08641475751261</v>
      </c>
      <c r="AC27" s="1" t="s">
        <v>27</v>
      </c>
      <c r="AD27" s="1"/>
      <c r="AE27" s="1" t="s">
        <v>126</v>
      </c>
      <c r="AF27" s="1">
        <f>$AF$20*AF11</f>
        <v>273.43633442427847</v>
      </c>
      <c r="AG27" s="1" t="s">
        <v>27</v>
      </c>
      <c r="AH27" s="1"/>
      <c r="AI27" s="1" t="s">
        <v>126</v>
      </c>
      <c r="AJ27" s="1">
        <f t="shared" si="5"/>
        <v>353.22058911038386</v>
      </c>
      <c r="AK27" s="1" t="s">
        <v>27</v>
      </c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</row>
    <row r="28" spans="1:48">
      <c r="A28" s="1"/>
      <c r="B28" s="1"/>
      <c r="C28" s="1"/>
      <c r="D28" s="1"/>
      <c r="E28" s="1"/>
      <c r="F28" s="1"/>
      <c r="G28" s="1" t="s">
        <v>36</v>
      </c>
      <c r="H28" s="9">
        <f t="shared" si="6"/>
        <v>558.42713789932554</v>
      </c>
      <c r="I28" s="1" t="s">
        <v>27</v>
      </c>
      <c r="J28" s="9"/>
      <c r="K28" s="1" t="s">
        <v>49</v>
      </c>
      <c r="L28" s="9">
        <f t="shared" si="7"/>
        <v>65.761706714599782</v>
      </c>
      <c r="M28" s="1" t="s">
        <v>27</v>
      </c>
      <c r="N28" s="1"/>
      <c r="O28" s="1" t="s">
        <v>36</v>
      </c>
      <c r="P28" s="9">
        <f>$P$23*P9</f>
        <v>285.40602830062562</v>
      </c>
      <c r="Q28" s="1" t="s">
        <v>27</v>
      </c>
      <c r="R28" s="1"/>
      <c r="S28" s="1"/>
      <c r="T28" s="1"/>
      <c r="U28" s="1"/>
      <c r="V28" s="1"/>
      <c r="W28" s="1" t="s">
        <v>83</v>
      </c>
      <c r="X28" s="1">
        <f>$X$20*X12</f>
        <v>78.980303481106816</v>
      </c>
      <c r="Y28" s="1" t="s">
        <v>22</v>
      </c>
      <c r="Z28" s="1"/>
      <c r="AA28" s="1" t="s">
        <v>83</v>
      </c>
      <c r="AB28" s="1">
        <f t="shared" si="3"/>
        <v>92.309669741148468</v>
      </c>
      <c r="AC28" s="1" t="s">
        <v>22</v>
      </c>
      <c r="AD28" s="1"/>
      <c r="AE28" s="1" t="s">
        <v>83</v>
      </c>
      <c r="AF28" s="1">
        <f t="shared" si="4"/>
        <v>56.965903005058024</v>
      </c>
      <c r="AG28" s="1" t="s">
        <v>22</v>
      </c>
      <c r="AH28" s="1"/>
      <c r="AI28" s="1" t="s">
        <v>83</v>
      </c>
      <c r="AJ28" s="1">
        <f t="shared" si="5"/>
        <v>73.587622731329972</v>
      </c>
      <c r="AK28" s="1" t="s">
        <v>22</v>
      </c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</row>
    <row r="29" spans="1:48">
      <c r="A29" s="1"/>
      <c r="B29" s="1"/>
      <c r="C29" s="10"/>
      <c r="D29" s="10"/>
      <c r="E29" s="10"/>
      <c r="F29" s="1"/>
      <c r="G29" s="1" t="s">
        <v>77</v>
      </c>
      <c r="H29" s="9">
        <f>$H$23*H10</f>
        <v>20.484568056913059</v>
      </c>
      <c r="I29" s="1" t="s">
        <v>27</v>
      </c>
      <c r="J29" s="9"/>
      <c r="K29" s="1" t="s">
        <v>88</v>
      </c>
      <c r="L29" s="9">
        <f t="shared" si="7"/>
        <v>2.4123114105834054</v>
      </c>
      <c r="M29" s="1" t="s">
        <v>27</v>
      </c>
      <c r="N29" s="1"/>
      <c r="O29" s="1" t="s">
        <v>77</v>
      </c>
      <c r="P29" s="9">
        <f t="shared" si="8"/>
        <v>10.469439634632201</v>
      </c>
      <c r="Q29" s="1" t="s">
        <v>27</v>
      </c>
      <c r="R29" s="1"/>
      <c r="S29" s="1"/>
      <c r="T29" s="1"/>
      <c r="U29" s="1"/>
      <c r="V29" s="1"/>
      <c r="W29" s="1" t="s">
        <v>127</v>
      </c>
      <c r="X29" s="1">
        <f>X20*X16</f>
        <v>157.96060696221363</v>
      </c>
      <c r="Y29" s="1" t="s">
        <v>27</v>
      </c>
      <c r="Z29" s="1"/>
      <c r="AA29" s="1" t="s">
        <v>127</v>
      </c>
      <c r="AB29" s="1">
        <f>AB20*AB16</f>
        <v>184.61933948229694</v>
      </c>
      <c r="AC29" s="1" t="s">
        <v>27</v>
      </c>
      <c r="AD29" s="1"/>
      <c r="AE29" s="1" t="s">
        <v>127</v>
      </c>
      <c r="AF29" s="1">
        <f>AF20*AF16</f>
        <v>113.93180601011605</v>
      </c>
      <c r="AG29" s="1" t="s">
        <v>27</v>
      </c>
      <c r="AH29" s="1"/>
      <c r="AI29" s="1" t="s">
        <v>127</v>
      </c>
      <c r="AJ29" s="1">
        <f>AJ20*AJ16</f>
        <v>147.17524546265994</v>
      </c>
      <c r="AK29" s="1" t="s">
        <v>27</v>
      </c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</row>
    <row r="30" spans="1:48">
      <c r="A30" s="1"/>
      <c r="B30" s="1"/>
      <c r="C30" s="1"/>
      <c r="D30" s="1"/>
      <c r="E30" s="1"/>
      <c r="F30" s="1"/>
      <c r="G30" s="1" t="s">
        <v>78</v>
      </c>
      <c r="H30" s="9">
        <f t="shared" si="6"/>
        <v>31.172168782259003</v>
      </c>
      <c r="I30" s="1" t="s">
        <v>27</v>
      </c>
      <c r="J30" s="9"/>
      <c r="K30" s="1" t="s">
        <v>89</v>
      </c>
      <c r="L30" s="9">
        <f t="shared" si="7"/>
        <v>3.670908668279095</v>
      </c>
      <c r="M30" s="1" t="s">
        <v>27</v>
      </c>
      <c r="N30" s="1"/>
      <c r="O30" s="1" t="s">
        <v>78</v>
      </c>
      <c r="P30" s="9">
        <f>$P$23*P11</f>
        <v>15.931755965744653</v>
      </c>
      <c r="Q30" s="1" t="s">
        <v>27</v>
      </c>
      <c r="R30" s="1"/>
      <c r="S30" s="1"/>
      <c r="T30" s="1"/>
      <c r="U30" s="1"/>
      <c r="V30" s="1"/>
      <c r="W30" s="1" t="s">
        <v>128</v>
      </c>
      <c r="X30" s="1">
        <f>X20*X17</f>
        <v>94.776364177328176</v>
      </c>
      <c r="Y30" s="1" t="s">
        <v>27</v>
      </c>
      <c r="Z30" s="1"/>
      <c r="AA30" s="1" t="s">
        <v>128</v>
      </c>
      <c r="AB30" s="1">
        <f>AB20*AB17</f>
        <v>110.77160368937815</v>
      </c>
      <c r="AC30" s="1" t="s">
        <v>27</v>
      </c>
      <c r="AD30" s="1"/>
      <c r="AE30" s="1" t="s">
        <v>128</v>
      </c>
      <c r="AF30" s="1">
        <f>AF20*AF17</f>
        <v>68.359083606069618</v>
      </c>
      <c r="AG30" s="1" t="s">
        <v>27</v>
      </c>
      <c r="AH30" s="1"/>
      <c r="AI30" s="1" t="s">
        <v>128</v>
      </c>
      <c r="AJ30" s="1">
        <f>AJ20*AJ17</f>
        <v>88.305147277595964</v>
      </c>
      <c r="AK30" s="1" t="s">
        <v>27</v>
      </c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</row>
    <row r="31" spans="1:48">
      <c r="A31" s="1"/>
      <c r="B31" s="1"/>
      <c r="C31" s="1"/>
      <c r="D31" s="1"/>
      <c r="E31" s="1"/>
      <c r="F31" s="1"/>
      <c r="G31" s="1" t="s">
        <v>38</v>
      </c>
      <c r="H31" s="9">
        <f t="shared" si="6"/>
        <v>13.804817603571845</v>
      </c>
      <c r="I31" s="1" t="s">
        <v>27</v>
      </c>
      <c r="J31" s="9"/>
      <c r="K31" s="1" t="s">
        <v>51</v>
      </c>
      <c r="L31" s="9">
        <f t="shared" si="7"/>
        <v>1.6256881245235992</v>
      </c>
      <c r="M31" s="1" t="s">
        <v>27</v>
      </c>
      <c r="N31" s="1"/>
      <c r="O31" s="1" t="s">
        <v>38</v>
      </c>
      <c r="P31" s="9">
        <f>$P$23*P12</f>
        <v>7.0554919276869175</v>
      </c>
      <c r="Q31" s="1" t="s">
        <v>27</v>
      </c>
      <c r="R31" s="1"/>
      <c r="S31" s="1"/>
      <c r="T31" s="1"/>
      <c r="U31" s="1"/>
      <c r="V31" s="1"/>
      <c r="W31" s="1" t="s">
        <v>181</v>
      </c>
      <c r="X31" s="1">
        <v>0.01</v>
      </c>
      <c r="Y31" s="1" t="s">
        <v>107</v>
      </c>
      <c r="Z31" s="1"/>
      <c r="AA31" s="1" t="s">
        <v>181</v>
      </c>
      <c r="AB31" s="1">
        <v>0.01</v>
      </c>
      <c r="AC31" s="1" t="s">
        <v>107</v>
      </c>
      <c r="AD31" s="1"/>
      <c r="AE31" s="1" t="s">
        <v>181</v>
      </c>
      <c r="AF31" s="1">
        <v>0.01</v>
      </c>
      <c r="AG31" s="1" t="s">
        <v>107</v>
      </c>
      <c r="AH31" s="1"/>
      <c r="AI31" s="1" t="s">
        <v>181</v>
      </c>
      <c r="AJ31" s="1">
        <v>0.01</v>
      </c>
      <c r="AK31" s="1" t="s">
        <v>107</v>
      </c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</row>
    <row r="32" spans="1:48">
      <c r="A32" s="1"/>
      <c r="B32" s="1"/>
      <c r="C32" s="24"/>
      <c r="D32" s="24"/>
      <c r="E32" s="24"/>
      <c r="F32" s="1"/>
      <c r="G32" s="1" t="s">
        <v>39</v>
      </c>
      <c r="H32" s="9">
        <f>$H$23*H13</f>
        <v>7.1250671502306293</v>
      </c>
      <c r="I32" s="1" t="s">
        <v>27</v>
      </c>
      <c r="J32" s="9"/>
      <c r="K32" s="1" t="s">
        <v>52</v>
      </c>
      <c r="L32" s="9">
        <f t="shared" si="7"/>
        <v>0.83906483846379309</v>
      </c>
      <c r="M32" s="1" t="s">
        <v>27</v>
      </c>
      <c r="N32" s="1"/>
      <c r="O32" s="1" t="s">
        <v>39</v>
      </c>
      <c r="P32" s="9">
        <f t="shared" si="8"/>
        <v>3.6415442207416349</v>
      </c>
      <c r="Q32" s="1" t="s">
        <v>27</v>
      </c>
      <c r="R32" s="1"/>
      <c r="S32" s="1"/>
      <c r="T32" s="1"/>
      <c r="U32" s="1"/>
      <c r="V32" s="1"/>
      <c r="W32" s="11" t="s">
        <v>182</v>
      </c>
      <c r="X32" s="11">
        <v>1.07</v>
      </c>
      <c r="Y32" s="11" t="s">
        <v>107</v>
      </c>
      <c r="Z32" s="1"/>
      <c r="AA32" s="11" t="s">
        <v>182</v>
      </c>
      <c r="AB32" s="11">
        <v>1.07</v>
      </c>
      <c r="AC32" s="11" t="s">
        <v>107</v>
      </c>
      <c r="AD32" s="1"/>
      <c r="AE32" s="11" t="s">
        <v>182</v>
      </c>
      <c r="AF32" s="11">
        <v>1.07</v>
      </c>
      <c r="AG32" s="11" t="s">
        <v>107</v>
      </c>
      <c r="AH32" s="1"/>
      <c r="AI32" s="11" t="s">
        <v>182</v>
      </c>
      <c r="AJ32" s="11">
        <v>1.07</v>
      </c>
      <c r="AK32" s="11" t="s">
        <v>107</v>
      </c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</row>
    <row r="33" spans="1:48">
      <c r="A33" s="1"/>
      <c r="B33" s="1"/>
      <c r="C33" s="1"/>
      <c r="D33" s="1"/>
      <c r="E33" s="1"/>
      <c r="F33" s="1"/>
      <c r="G33" s="1" t="s">
        <v>72</v>
      </c>
      <c r="H33" s="1">
        <f>$H$23*H18</f>
        <v>13.658753726992117</v>
      </c>
      <c r="I33" s="1" t="s">
        <v>27</v>
      </c>
      <c r="J33" s="9"/>
      <c r="K33" s="1" t="s">
        <v>90</v>
      </c>
      <c r="L33" s="9">
        <f>$L$23*L18</f>
        <v>1.6084872953350915</v>
      </c>
      <c r="M33" s="1" t="s">
        <v>27</v>
      </c>
      <c r="N33" s="1"/>
      <c r="O33" s="1" t="s">
        <v>72</v>
      </c>
      <c r="P33" s="1">
        <f>$P$23*P18</f>
        <v>6.9808402711617141</v>
      </c>
      <c r="Q33" s="1" t="s">
        <v>27</v>
      </c>
      <c r="R33" s="1"/>
      <c r="S33" s="1"/>
      <c r="T33" s="1"/>
      <c r="U33" s="1"/>
      <c r="V33" s="1"/>
      <c r="W33" s="1" t="s">
        <v>183</v>
      </c>
      <c r="X33" s="1">
        <f>X31*X15</f>
        <v>32</v>
      </c>
      <c r="Y33" s="1" t="s">
        <v>27</v>
      </c>
      <c r="Z33" s="1"/>
      <c r="AA33" s="1" t="s">
        <v>183</v>
      </c>
      <c r="AB33" s="1">
        <f>AB31*AB15</f>
        <v>32</v>
      </c>
      <c r="AC33" s="1" t="s">
        <v>27</v>
      </c>
      <c r="AD33" s="1"/>
      <c r="AE33" s="1" t="s">
        <v>183</v>
      </c>
      <c r="AF33" s="1">
        <f>AF31*AF15</f>
        <v>32</v>
      </c>
      <c r="AG33" s="1" t="s">
        <v>27</v>
      </c>
      <c r="AH33" s="1"/>
      <c r="AI33" s="1" t="s">
        <v>183</v>
      </c>
      <c r="AJ33" s="1">
        <f>AJ31*AJ15</f>
        <v>32</v>
      </c>
      <c r="AK33" s="1" t="s">
        <v>27</v>
      </c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</row>
    <row r="34" spans="1:48">
      <c r="A34" s="1"/>
      <c r="B34" s="1"/>
      <c r="C34" s="1"/>
      <c r="D34" s="1"/>
      <c r="E34" s="1"/>
      <c r="F34" s="1"/>
      <c r="G34" s="1" t="s">
        <v>73</v>
      </c>
      <c r="H34" s="1">
        <f>$H$23*H19</f>
        <v>7.3984916021207301</v>
      </c>
      <c r="I34" s="1" t="s">
        <v>27</v>
      </c>
      <c r="J34" s="9"/>
      <c r="K34" s="1" t="s">
        <v>91</v>
      </c>
      <c r="L34" s="9">
        <f t="shared" ref="L34:L35" si="9">$L$23*L19</f>
        <v>0.87126395163984116</v>
      </c>
      <c r="M34" s="1" t="s">
        <v>27</v>
      </c>
      <c r="N34" s="1"/>
      <c r="O34" s="1" t="s">
        <v>73</v>
      </c>
      <c r="P34" s="1">
        <f>$P$23*P19</f>
        <v>3.7812884802125954</v>
      </c>
      <c r="Q34" s="1" t="s">
        <v>27</v>
      </c>
      <c r="R34" s="1"/>
      <c r="S34" s="1"/>
      <c r="T34" s="1"/>
      <c r="U34" s="1"/>
      <c r="V34" s="1"/>
      <c r="W34" s="11" t="s">
        <v>184</v>
      </c>
      <c r="X34" s="1">
        <f>X32*X15</f>
        <v>3424</v>
      </c>
      <c r="Y34" s="1" t="s">
        <v>27</v>
      </c>
      <c r="Z34" s="1"/>
      <c r="AA34" s="11" t="s">
        <v>184</v>
      </c>
      <c r="AB34" s="1">
        <f>AB32*AB15</f>
        <v>3424</v>
      </c>
      <c r="AC34" s="1" t="s">
        <v>27</v>
      </c>
      <c r="AD34" s="1"/>
      <c r="AE34" s="11" t="s">
        <v>184</v>
      </c>
      <c r="AF34" s="1">
        <f>AF32*AF15</f>
        <v>3424</v>
      </c>
      <c r="AG34" s="1" t="s">
        <v>27</v>
      </c>
      <c r="AH34" s="1"/>
      <c r="AI34" s="11" t="s">
        <v>184</v>
      </c>
      <c r="AJ34" s="1">
        <f>AJ32*AJ15</f>
        <v>3424</v>
      </c>
      <c r="AK34" s="1" t="s">
        <v>27</v>
      </c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</row>
    <row r="35" spans="1:48">
      <c r="A35" s="1"/>
      <c r="B35" s="1"/>
      <c r="C35" s="1"/>
      <c r="D35" s="1"/>
      <c r="E35" s="1"/>
      <c r="F35" s="1"/>
      <c r="G35" s="1" t="s">
        <v>74</v>
      </c>
      <c r="H35" s="1">
        <f t="shared" ref="H35" si="10">$H$23*H20</f>
        <v>36.992458010603649</v>
      </c>
      <c r="I35" s="1" t="s">
        <v>27</v>
      </c>
      <c r="J35" s="9"/>
      <c r="K35" s="1" t="s">
        <v>92</v>
      </c>
      <c r="L35" s="9">
        <f t="shared" si="9"/>
        <v>4.3563197581992066</v>
      </c>
      <c r="M35" s="1" t="s">
        <v>27</v>
      </c>
      <c r="N35" s="1"/>
      <c r="O35" s="1" t="s">
        <v>74</v>
      </c>
      <c r="P35" s="1">
        <f t="shared" ref="P35" si="11">$P$23*P20</f>
        <v>18.906442401062979</v>
      </c>
      <c r="Q35" s="1" t="s">
        <v>27</v>
      </c>
      <c r="R35" s="1"/>
      <c r="S35" s="1"/>
      <c r="T35" s="1"/>
      <c r="U35" s="1"/>
      <c r="V35" s="1"/>
      <c r="W35" s="1" t="s">
        <v>185</v>
      </c>
      <c r="X35" s="1">
        <f>X33*X20</f>
        <v>31.592121392442724</v>
      </c>
      <c r="Y35" s="1" t="s">
        <v>27</v>
      </c>
      <c r="Z35" s="1"/>
      <c r="AA35" s="1" t="s">
        <v>185</v>
      </c>
      <c r="AB35" s="1">
        <f>AB33*AB20</f>
        <v>36.923867896459384</v>
      </c>
      <c r="AC35" s="1" t="s">
        <v>27</v>
      </c>
      <c r="AD35" s="1"/>
      <c r="AE35" s="1" t="s">
        <v>185</v>
      </c>
      <c r="AF35" s="1">
        <f>AF33*AF20</f>
        <v>22.786361202023208</v>
      </c>
      <c r="AG35" s="1" t="s">
        <v>27</v>
      </c>
      <c r="AH35" s="1"/>
      <c r="AI35" s="1" t="s">
        <v>185</v>
      </c>
      <c r="AJ35" s="1">
        <f>AJ33*AJ20</f>
        <v>29.435049092531987</v>
      </c>
      <c r="AK35" s="1" t="s">
        <v>27</v>
      </c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</row>
    <row r="36" spans="1:48">
      <c r="A36" s="1"/>
      <c r="B36" s="1"/>
      <c r="C36" s="10"/>
      <c r="D36" s="10"/>
      <c r="E36" s="10"/>
      <c r="F36" s="1"/>
      <c r="G36" s="1" t="s">
        <v>79</v>
      </c>
      <c r="H36" s="9">
        <f>SUM(H24:H29)+H31+H32-H33-H34-H35</f>
        <v>5049.9999999999982</v>
      </c>
      <c r="I36" s="1" t="s">
        <v>27</v>
      </c>
      <c r="J36" s="1"/>
      <c r="K36" s="1" t="s">
        <v>93</v>
      </c>
      <c r="L36" s="9">
        <f>SUM(L24:L29)+L31+L32-L33-L34-L35</f>
        <v>594.6999999999997</v>
      </c>
      <c r="M36" s="1" t="s">
        <v>27</v>
      </c>
      <c r="N36" s="1"/>
      <c r="O36" s="1" t="s">
        <v>79</v>
      </c>
      <c r="P36" s="9">
        <f>SUM(P24:P29)+P31+P32-P33-P34-P35</f>
        <v>2581</v>
      </c>
      <c r="Q36" s="1" t="s">
        <v>27</v>
      </c>
      <c r="R36" s="1"/>
      <c r="S36" s="1"/>
      <c r="T36" s="1"/>
      <c r="U36" s="1"/>
      <c r="V36" s="1"/>
      <c r="W36" s="11" t="s">
        <v>186</v>
      </c>
      <c r="X36" s="1">
        <f>X34*X20</f>
        <v>3380.3569889913715</v>
      </c>
      <c r="Y36" s="1" t="s">
        <v>27</v>
      </c>
      <c r="Z36" s="1"/>
      <c r="AA36" s="11" t="s">
        <v>186</v>
      </c>
      <c r="AB36" s="1">
        <f>AB34*AB20</f>
        <v>3950.8538649211541</v>
      </c>
      <c r="AC36" s="1" t="s">
        <v>27</v>
      </c>
      <c r="AD36" s="1"/>
      <c r="AE36" s="11" t="s">
        <v>186</v>
      </c>
      <c r="AF36" s="1">
        <f>AF34*AF20</f>
        <v>2438.1406486164833</v>
      </c>
      <c r="AG36" s="1" t="s">
        <v>27</v>
      </c>
      <c r="AH36" s="1"/>
      <c r="AI36" s="11" t="s">
        <v>186</v>
      </c>
      <c r="AJ36" s="1">
        <f>AJ34*AJ20</f>
        <v>3149.5502529009227</v>
      </c>
      <c r="AK36" s="1" t="s">
        <v>27</v>
      </c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</row>
    <row r="37" spans="1:48">
      <c r="A37" s="1"/>
      <c r="B37" s="1"/>
      <c r="C37" s="1"/>
      <c r="D37" s="1"/>
      <c r="E37" s="1"/>
      <c r="F37" s="1"/>
      <c r="G37" s="1" t="s">
        <v>81</v>
      </c>
      <c r="H37" s="1">
        <v>8414</v>
      </c>
      <c r="I37" s="1" t="s">
        <v>22</v>
      </c>
      <c r="J37" s="1"/>
      <c r="K37" s="1" t="s">
        <v>81</v>
      </c>
      <c r="L37" s="1">
        <v>8414</v>
      </c>
      <c r="M37" s="1" t="s">
        <v>22</v>
      </c>
      <c r="N37" s="1"/>
      <c r="O37" s="1" t="s">
        <v>81</v>
      </c>
      <c r="P37" s="1">
        <v>8414</v>
      </c>
      <c r="Q37" s="1" t="s">
        <v>22</v>
      </c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</row>
    <row r="38" spans="1:48">
      <c r="A38" s="1"/>
      <c r="B38" s="1"/>
      <c r="C38" s="6"/>
      <c r="D38" s="6"/>
      <c r="E38" s="6"/>
      <c r="F38" s="1"/>
      <c r="G38" s="1" t="s">
        <v>82</v>
      </c>
      <c r="H38" s="9">
        <v>2785</v>
      </c>
      <c r="I38" s="1" t="s">
        <v>22</v>
      </c>
      <c r="J38" s="9"/>
      <c r="K38" s="1" t="s">
        <v>82</v>
      </c>
      <c r="L38" s="9">
        <v>2785</v>
      </c>
      <c r="M38" s="1" t="s">
        <v>22</v>
      </c>
      <c r="N38" s="1"/>
      <c r="O38" s="1" t="s">
        <v>82</v>
      </c>
      <c r="P38" s="9">
        <v>2785</v>
      </c>
      <c r="Q38" s="1" t="s">
        <v>22</v>
      </c>
      <c r="R38" s="1"/>
      <c r="S38" s="1"/>
      <c r="T38" s="1"/>
      <c r="U38" s="1"/>
      <c r="V38" s="1"/>
      <c r="W38" s="25" t="s">
        <v>131</v>
      </c>
      <c r="X38" s="25"/>
      <c r="Y38" s="25"/>
      <c r="Z38" s="1"/>
      <c r="AA38" s="25" t="s">
        <v>187</v>
      </c>
      <c r="AB38" s="25"/>
      <c r="AC38" s="25"/>
      <c r="AD38" s="1"/>
      <c r="AE38" s="25" t="s">
        <v>132</v>
      </c>
      <c r="AF38" s="25"/>
      <c r="AG38" s="25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</row>
    <row r="39" spans="1:48">
      <c r="A39" s="1"/>
      <c r="B39" s="1"/>
      <c r="C39" s="24"/>
      <c r="D39" s="24"/>
      <c r="E39" s="24"/>
      <c r="F39" s="1"/>
      <c r="G39" s="1" t="s">
        <v>80</v>
      </c>
      <c r="H39" s="9">
        <v>537</v>
      </c>
      <c r="I39" s="1" t="s">
        <v>22</v>
      </c>
      <c r="J39" s="9"/>
      <c r="K39" s="1" t="s">
        <v>80</v>
      </c>
      <c r="L39" s="9">
        <v>537</v>
      </c>
      <c r="M39" s="1" t="s">
        <v>22</v>
      </c>
      <c r="N39" s="1"/>
      <c r="O39" s="1" t="s">
        <v>80</v>
      </c>
      <c r="P39" s="9">
        <v>537</v>
      </c>
      <c r="Q39" s="1" t="s">
        <v>22</v>
      </c>
      <c r="R39" s="1"/>
      <c r="S39" s="1"/>
      <c r="T39" s="1"/>
      <c r="U39" s="1"/>
      <c r="V39" s="1"/>
      <c r="W39" s="1" t="s">
        <v>61</v>
      </c>
      <c r="X39" s="1">
        <v>80</v>
      </c>
      <c r="Y39" s="1" t="s">
        <v>27</v>
      </c>
      <c r="Z39" s="1"/>
      <c r="AA39" s="1" t="s">
        <v>61</v>
      </c>
      <c r="AB39" s="1">
        <v>80</v>
      </c>
      <c r="AC39" s="1" t="s">
        <v>27</v>
      </c>
      <c r="AD39" s="1"/>
      <c r="AE39" s="1" t="s">
        <v>61</v>
      </c>
      <c r="AF39" s="1">
        <v>80</v>
      </c>
      <c r="AG39" s="1" t="s">
        <v>27</v>
      </c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</row>
    <row r="40" spans="1:48">
      <c r="A40" s="1"/>
      <c r="B40" s="1"/>
      <c r="C40" s="1"/>
      <c r="D40" s="1"/>
      <c r="E40" s="1"/>
      <c r="F40" s="1"/>
      <c r="G40" s="1" t="s">
        <v>83</v>
      </c>
      <c r="H40" s="9">
        <f>H37*$H$23</f>
        <v>3746.8946876275322</v>
      </c>
      <c r="I40" s="1" t="s">
        <v>22</v>
      </c>
      <c r="J40" s="9"/>
      <c r="K40" s="1" t="s">
        <v>94</v>
      </c>
      <c r="L40" s="9">
        <f>L37*$L$23</f>
        <v>441.2432219271472</v>
      </c>
      <c r="M40" s="1" t="s">
        <v>22</v>
      </c>
      <c r="N40" s="1"/>
      <c r="O40" s="1" t="s">
        <v>83</v>
      </c>
      <c r="P40" s="9">
        <f>P37*$P$23</f>
        <v>1914.9970670825073</v>
      </c>
      <c r="Q40" s="1" t="s">
        <v>22</v>
      </c>
      <c r="R40" s="1"/>
      <c r="S40" s="1"/>
      <c r="T40" s="1"/>
      <c r="U40" s="1"/>
      <c r="V40" s="1"/>
      <c r="W40" s="1" t="s">
        <v>31</v>
      </c>
      <c r="X40" s="1">
        <v>318</v>
      </c>
      <c r="Y40" s="1" t="s">
        <v>27</v>
      </c>
      <c r="Z40" s="1"/>
      <c r="AA40" s="1" t="s">
        <v>31</v>
      </c>
      <c r="AB40" s="1">
        <v>318</v>
      </c>
      <c r="AC40" s="1" t="s">
        <v>27</v>
      </c>
      <c r="AD40" s="1"/>
      <c r="AE40" s="1" t="s">
        <v>31</v>
      </c>
      <c r="AF40" s="1">
        <v>318</v>
      </c>
      <c r="AG40" s="1" t="s">
        <v>27</v>
      </c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</row>
    <row r="41" spans="1:48">
      <c r="A41" s="1"/>
      <c r="B41" s="1"/>
      <c r="C41" s="1"/>
      <c r="D41" s="1"/>
      <c r="E41" s="1"/>
      <c r="F41" s="1"/>
      <c r="G41" s="1" t="s">
        <v>84</v>
      </c>
      <c r="H41" s="9">
        <f t="shared" ref="H41:H42" si="12">H38*$H$23</f>
        <v>1240.207000837019</v>
      </c>
      <c r="I41" s="1" t="s">
        <v>22</v>
      </c>
      <c r="J41" s="1"/>
      <c r="K41" s="1" t="s">
        <v>95</v>
      </c>
      <c r="L41" s="9">
        <f t="shared" ref="L41" si="13">L38*$L$23</f>
        <v>146.04972344510398</v>
      </c>
      <c r="M41" s="1" t="s">
        <v>22</v>
      </c>
      <c r="N41" s="1"/>
      <c r="O41" s="1" t="s">
        <v>84</v>
      </c>
      <c r="P41" s="9">
        <f t="shared" ref="P41" si="14">P38*$P$23</f>
        <v>633.8562909228408</v>
      </c>
      <c r="Q41" s="1" t="s">
        <v>22</v>
      </c>
      <c r="R41" s="1"/>
      <c r="S41" s="1"/>
      <c r="T41" s="1"/>
      <c r="U41" s="1"/>
      <c r="V41" s="1"/>
      <c r="W41" s="1" t="s">
        <v>112</v>
      </c>
      <c r="X41" s="1">
        <v>319</v>
      </c>
      <c r="Y41" s="1" t="s">
        <v>27</v>
      </c>
      <c r="Z41" s="1"/>
      <c r="AA41" s="1" t="s">
        <v>112</v>
      </c>
      <c r="AB41" s="1">
        <v>319</v>
      </c>
      <c r="AC41" s="1" t="s">
        <v>27</v>
      </c>
      <c r="AD41" s="1"/>
      <c r="AE41" s="1" t="s">
        <v>112</v>
      </c>
      <c r="AF41" s="1">
        <v>319</v>
      </c>
      <c r="AG41" s="1" t="s">
        <v>27</v>
      </c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</row>
    <row r="42" spans="1:48">
      <c r="A42" s="1"/>
      <c r="B42" s="1"/>
      <c r="C42" s="1"/>
      <c r="D42" s="1"/>
      <c r="E42" s="1"/>
      <c r="F42" s="1"/>
      <c r="G42" s="1" t="s">
        <v>85</v>
      </c>
      <c r="H42" s="9">
        <f t="shared" si="12"/>
        <v>239.13506622961549</v>
      </c>
      <c r="I42" s="1" t="s">
        <v>22</v>
      </c>
      <c r="J42" s="9"/>
      <c r="K42" s="1" t="s">
        <v>96</v>
      </c>
      <c r="L42" s="9">
        <f>L39*$L$23</f>
        <v>28.161113640941057</v>
      </c>
      <c r="M42" s="1" t="s">
        <v>22</v>
      </c>
      <c r="N42" s="1"/>
      <c r="O42" s="1" t="s">
        <v>85</v>
      </c>
      <c r="P42" s="9">
        <f>P39*$P$23</f>
        <v>122.21932790864112</v>
      </c>
      <c r="Q42" s="1" t="s">
        <v>22</v>
      </c>
      <c r="R42" s="1"/>
      <c r="S42" s="1"/>
      <c r="T42" s="1"/>
      <c r="U42" s="1"/>
      <c r="V42" s="1"/>
      <c r="W42" s="1" t="s">
        <v>113</v>
      </c>
      <c r="X42" s="1">
        <v>1910</v>
      </c>
      <c r="Y42" s="1" t="s">
        <v>27</v>
      </c>
      <c r="Z42" s="1"/>
      <c r="AA42" s="1" t="s">
        <v>113</v>
      </c>
      <c r="AB42" s="1">
        <v>1910</v>
      </c>
      <c r="AC42" s="1" t="s">
        <v>27</v>
      </c>
      <c r="AD42" s="1"/>
      <c r="AE42" s="1" t="s">
        <v>113</v>
      </c>
      <c r="AF42" s="1">
        <v>1910</v>
      </c>
      <c r="AG42" s="1" t="s">
        <v>27</v>
      </c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</row>
    <row r="43" spans="1:48">
      <c r="A43" s="1"/>
      <c r="B43" s="1"/>
      <c r="C43" s="10"/>
      <c r="D43" s="10"/>
      <c r="E43" s="10"/>
      <c r="F43" s="1"/>
      <c r="G43" s="1" t="s">
        <v>41</v>
      </c>
      <c r="H43" s="1">
        <v>246219</v>
      </c>
      <c r="I43" s="1" t="s">
        <v>42</v>
      </c>
      <c r="J43" s="9"/>
      <c r="K43" s="1" t="s">
        <v>53</v>
      </c>
      <c r="L43" s="1">
        <v>138607</v>
      </c>
      <c r="M43" s="1" t="s">
        <v>42</v>
      </c>
      <c r="N43" s="1"/>
      <c r="O43" s="1" t="s">
        <v>105</v>
      </c>
      <c r="P43" s="1">
        <v>63787</v>
      </c>
      <c r="Q43" s="1" t="s">
        <v>42</v>
      </c>
      <c r="R43" s="1"/>
      <c r="S43" s="1"/>
      <c r="T43" s="1"/>
      <c r="U43" s="1"/>
      <c r="V43" s="1"/>
      <c r="W43" s="1" t="s">
        <v>114</v>
      </c>
      <c r="X43" s="1">
        <v>583</v>
      </c>
      <c r="Y43" s="1" t="s">
        <v>27</v>
      </c>
      <c r="Z43" s="1"/>
      <c r="AA43" s="1" t="s">
        <v>114</v>
      </c>
      <c r="AB43" s="1">
        <v>583</v>
      </c>
      <c r="AC43" s="1" t="s">
        <v>27</v>
      </c>
      <c r="AD43" s="1"/>
      <c r="AE43" s="1" t="s">
        <v>114</v>
      </c>
      <c r="AF43" s="1">
        <v>583</v>
      </c>
      <c r="AG43" s="1" t="s">
        <v>27</v>
      </c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</row>
    <row r="44" spans="1:48">
      <c r="A44" s="1"/>
      <c r="B44" s="1"/>
      <c r="C44" s="1"/>
      <c r="D44" s="1"/>
      <c r="E44" s="1"/>
      <c r="F44" s="1"/>
      <c r="G44" s="1" t="s">
        <v>43</v>
      </c>
      <c r="H44" s="1">
        <f>3811+72390+35168+608+6856+7+136173</f>
        <v>255013</v>
      </c>
      <c r="I44" s="1" t="s">
        <v>42</v>
      </c>
      <c r="J44" s="9"/>
      <c r="K44" s="1" t="s">
        <v>54</v>
      </c>
      <c r="L44" s="1">
        <v>81997</v>
      </c>
      <c r="M44" s="1" t="s">
        <v>42</v>
      </c>
      <c r="N44" s="1"/>
      <c r="O44" s="1" t="s">
        <v>106</v>
      </c>
      <c r="P44" s="1">
        <f>3583+1360+781+128</f>
        <v>5852</v>
      </c>
      <c r="Q44" s="1" t="s">
        <v>42</v>
      </c>
      <c r="R44" s="1"/>
      <c r="S44" s="1"/>
      <c r="T44" s="1"/>
      <c r="U44" s="1"/>
      <c r="V44" s="1"/>
      <c r="W44" s="1" t="s">
        <v>115</v>
      </c>
      <c r="X44" s="1">
        <v>23</v>
      </c>
      <c r="Y44" s="1" t="s">
        <v>27</v>
      </c>
      <c r="Z44" s="1"/>
      <c r="AA44" s="1" t="s">
        <v>115</v>
      </c>
      <c r="AB44" s="1">
        <v>23</v>
      </c>
      <c r="AC44" s="1" t="s">
        <v>27</v>
      </c>
      <c r="AD44" s="1"/>
      <c r="AE44" s="1" t="s">
        <v>115</v>
      </c>
      <c r="AF44" s="1">
        <v>23</v>
      </c>
      <c r="AG44" s="1" t="s">
        <v>27</v>
      </c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</row>
    <row r="45" spans="1:48">
      <c r="A45" s="1"/>
      <c r="B45" s="1"/>
      <c r="C45" s="6"/>
      <c r="D45" s="6"/>
      <c r="E45" s="6"/>
      <c r="F45" s="1"/>
      <c r="G45" s="1" t="s">
        <v>44</v>
      </c>
      <c r="H45" s="1">
        <f>H43/(H43+H44)</f>
        <v>0.49122761515625502</v>
      </c>
      <c r="I45" s="1" t="s">
        <v>42</v>
      </c>
      <c r="J45" s="9"/>
      <c r="K45" s="1" t="s">
        <v>44</v>
      </c>
      <c r="L45" s="1">
        <f>L43/(L43+L44)</f>
        <v>0.62830683033852519</v>
      </c>
      <c r="M45" s="1" t="s">
        <v>42</v>
      </c>
      <c r="N45" s="1"/>
      <c r="O45" s="1" t="s">
        <v>44</v>
      </c>
      <c r="P45" s="1">
        <f>P43/(P43+P44)</f>
        <v>0.9159666278952886</v>
      </c>
      <c r="Q45" s="1" t="s">
        <v>42</v>
      </c>
      <c r="R45" s="1"/>
      <c r="S45" s="1"/>
      <c r="T45" s="1"/>
      <c r="U45" s="1"/>
      <c r="V45" s="1"/>
      <c r="W45" s="1" t="s">
        <v>116</v>
      </c>
      <c r="X45" s="1">
        <v>384</v>
      </c>
      <c r="Y45" s="1" t="s">
        <v>27</v>
      </c>
      <c r="Z45" s="1"/>
      <c r="AA45" s="1" t="s">
        <v>116</v>
      </c>
      <c r="AB45" s="1">
        <v>384</v>
      </c>
      <c r="AC45" s="1" t="s">
        <v>27</v>
      </c>
      <c r="AD45" s="1"/>
      <c r="AE45" s="1" t="s">
        <v>116</v>
      </c>
      <c r="AF45" s="1">
        <v>384</v>
      </c>
      <c r="AG45" s="1" t="s">
        <v>27</v>
      </c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</row>
    <row r="46" spans="1:48">
      <c r="A46" s="1"/>
      <c r="B46" s="1"/>
      <c r="C46" s="26" t="s">
        <v>102</v>
      </c>
      <c r="D46" s="26"/>
      <c r="E46" s="26"/>
      <c r="F46" s="1"/>
      <c r="G46" s="1" t="s">
        <v>108</v>
      </c>
      <c r="H46" s="1">
        <v>0.33700000000000002</v>
      </c>
      <c r="I46" s="1" t="s">
        <v>107</v>
      </c>
      <c r="J46" s="9"/>
      <c r="K46" s="1" t="s">
        <v>108</v>
      </c>
      <c r="L46" s="1">
        <v>0.33700000000000002</v>
      </c>
      <c r="M46" s="1" t="s">
        <v>107</v>
      </c>
      <c r="N46" s="1"/>
      <c r="O46" s="1" t="s">
        <v>108</v>
      </c>
      <c r="P46" s="1">
        <v>0.33700000000000002</v>
      </c>
      <c r="Q46" s="1" t="s">
        <v>107</v>
      </c>
      <c r="R46" s="1"/>
      <c r="S46" s="1"/>
      <c r="T46" s="1"/>
      <c r="U46" s="1"/>
      <c r="V46" s="1"/>
      <c r="W46" s="1" t="s">
        <v>81</v>
      </c>
      <c r="X46" s="1">
        <v>80</v>
      </c>
      <c r="Y46" s="1" t="s">
        <v>22</v>
      </c>
      <c r="Z46" s="1"/>
      <c r="AA46" s="1" t="s">
        <v>81</v>
      </c>
      <c r="AB46" s="1">
        <v>80</v>
      </c>
      <c r="AC46" s="1" t="s">
        <v>22</v>
      </c>
      <c r="AD46" s="1"/>
      <c r="AE46" s="1" t="s">
        <v>81</v>
      </c>
      <c r="AF46" s="1">
        <v>80</v>
      </c>
      <c r="AG46" s="1" t="s">
        <v>22</v>
      </c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</row>
    <row r="47" spans="1:48">
      <c r="A47" s="1"/>
      <c r="B47" s="1"/>
      <c r="C47" s="1" t="s">
        <v>103</v>
      </c>
      <c r="D47" s="1">
        <v>25250</v>
      </c>
      <c r="E47" s="1" t="s">
        <v>42</v>
      </c>
      <c r="F47" s="1"/>
      <c r="G47" s="1" t="s">
        <v>109</v>
      </c>
      <c r="H47" s="1">
        <f>H46*H17</f>
        <v>430.68600000000004</v>
      </c>
      <c r="I47" s="1" t="s">
        <v>27</v>
      </c>
      <c r="J47" s="9"/>
      <c r="K47" s="1" t="s">
        <v>109</v>
      </c>
      <c r="L47" s="1">
        <f>L46*L17</f>
        <v>430.68600000000004</v>
      </c>
      <c r="M47" s="1" t="s">
        <v>27</v>
      </c>
      <c r="N47" s="1"/>
      <c r="O47" s="1" t="s">
        <v>109</v>
      </c>
      <c r="P47" s="1">
        <f>P46*P17</f>
        <v>430.68600000000004</v>
      </c>
      <c r="Q47" s="1" t="s">
        <v>27</v>
      </c>
      <c r="R47" s="1"/>
      <c r="S47" s="1"/>
      <c r="T47" s="1"/>
      <c r="U47" s="1"/>
      <c r="V47" s="1"/>
      <c r="W47" s="1" t="s">
        <v>117</v>
      </c>
      <c r="X47" s="1">
        <v>0.05</v>
      </c>
      <c r="Y47" s="1" t="s">
        <v>27</v>
      </c>
      <c r="Z47" s="1"/>
      <c r="AA47" s="1" t="s">
        <v>117</v>
      </c>
      <c r="AB47" s="1">
        <v>0.05</v>
      </c>
      <c r="AC47" s="1" t="s">
        <v>27</v>
      </c>
      <c r="AD47" s="1"/>
      <c r="AE47" s="1" t="s">
        <v>117</v>
      </c>
      <c r="AF47" s="1">
        <v>0.05</v>
      </c>
      <c r="AG47" s="1" t="s">
        <v>27</v>
      </c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</row>
    <row r="48" spans="1:48">
      <c r="A48" s="1"/>
      <c r="B48" s="1"/>
      <c r="C48" s="1" t="s">
        <v>104</v>
      </c>
      <c r="D48" s="1">
        <f>72785+56340+18870+12355+10795</f>
        <v>171145</v>
      </c>
      <c r="E48" s="1" t="s">
        <v>42</v>
      </c>
      <c r="F48" s="1"/>
      <c r="G48" s="1" t="s">
        <v>110</v>
      </c>
      <c r="H48" s="1">
        <f>H47*H23</f>
        <v>191.79166691651432</v>
      </c>
      <c r="I48" s="1" t="s">
        <v>27</v>
      </c>
      <c r="J48" s="9"/>
      <c r="K48" s="1" t="s">
        <v>111</v>
      </c>
      <c r="L48" s="1">
        <f>L47*L23</f>
        <v>22.585842438663576</v>
      </c>
      <c r="M48" s="1" t="s">
        <v>27</v>
      </c>
      <c r="N48" s="1"/>
      <c r="O48" s="1" t="s">
        <v>110</v>
      </c>
      <c r="P48" s="1">
        <f>P47*P23</f>
        <v>98.022632140895738</v>
      </c>
      <c r="Q48" s="1" t="s">
        <v>27</v>
      </c>
      <c r="R48" s="1"/>
      <c r="S48" s="1"/>
      <c r="T48" s="1"/>
      <c r="U48" s="1"/>
      <c r="V48" s="1"/>
      <c r="W48" s="1" t="s">
        <v>118</v>
      </c>
      <c r="X48" s="1">
        <v>0.03</v>
      </c>
      <c r="Y48" s="1" t="s">
        <v>27</v>
      </c>
      <c r="Z48" s="1"/>
      <c r="AA48" s="1" t="s">
        <v>118</v>
      </c>
      <c r="AB48" s="1">
        <v>0.03</v>
      </c>
      <c r="AC48" s="1" t="s">
        <v>27</v>
      </c>
      <c r="AD48" s="1"/>
      <c r="AE48" s="1" t="s">
        <v>118</v>
      </c>
      <c r="AF48" s="1">
        <v>0.03</v>
      </c>
      <c r="AG48" s="1" t="s">
        <v>27</v>
      </c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</row>
    <row r="49" spans="1:48">
      <c r="A49" s="1"/>
      <c r="B49" s="1"/>
      <c r="C49" s="1" t="s">
        <v>44</v>
      </c>
      <c r="D49" s="1">
        <f>D47/(D47+D48)</f>
        <v>0.12856742788767536</v>
      </c>
      <c r="E49" s="1"/>
      <c r="F49" s="1"/>
      <c r="G49" s="1" t="s">
        <v>173</v>
      </c>
      <c r="H49" s="9">
        <v>1.2999999999999999E-2</v>
      </c>
      <c r="I49" s="1" t="s">
        <v>107</v>
      </c>
      <c r="J49" s="9"/>
      <c r="K49" s="1"/>
      <c r="L49" s="9"/>
      <c r="M49" s="1"/>
      <c r="N49" s="1"/>
      <c r="O49" s="1"/>
      <c r="P49" s="1"/>
      <c r="Q49" s="1"/>
      <c r="R49" s="1"/>
      <c r="S49" s="1"/>
      <c r="T49" s="1"/>
      <c r="U49" s="1"/>
      <c r="V49" s="1"/>
      <c r="W49" s="1" t="s">
        <v>119</v>
      </c>
      <c r="X49" s="5">
        <v>3200</v>
      </c>
      <c r="Y49" s="1"/>
      <c r="Z49" s="1"/>
      <c r="AA49" s="1" t="s">
        <v>119</v>
      </c>
      <c r="AB49" s="5">
        <v>3200</v>
      </c>
      <c r="AC49" s="1"/>
      <c r="AD49" s="1"/>
      <c r="AE49" s="1" t="s">
        <v>119</v>
      </c>
      <c r="AF49" s="5">
        <v>3200</v>
      </c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</row>
    <row r="50" spans="1:48">
      <c r="A50" s="1"/>
      <c r="B50" s="1"/>
      <c r="C50" s="10"/>
      <c r="D50" s="10"/>
      <c r="E50" s="10"/>
      <c r="F50" s="1"/>
      <c r="G50" s="1" t="s">
        <v>174</v>
      </c>
      <c r="H50" s="1">
        <f>H49*H17</f>
        <v>16.614000000000001</v>
      </c>
      <c r="I50" s="1" t="s">
        <v>27</v>
      </c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 t="s">
        <v>120</v>
      </c>
      <c r="X50" s="1">
        <f>X47*X49</f>
        <v>160</v>
      </c>
      <c r="Y50" s="1" t="s">
        <v>27</v>
      </c>
      <c r="Z50" s="1"/>
      <c r="AA50" s="1" t="s">
        <v>120</v>
      </c>
      <c r="AB50" s="1">
        <f>AB47*AB49</f>
        <v>160</v>
      </c>
      <c r="AC50" s="1" t="s">
        <v>27</v>
      </c>
      <c r="AD50" s="1"/>
      <c r="AE50" s="1" t="s">
        <v>120</v>
      </c>
      <c r="AF50" s="1">
        <f>AF47*AF49</f>
        <v>160</v>
      </c>
      <c r="AG50" s="1" t="s">
        <v>27</v>
      </c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</row>
    <row r="51" spans="1:48">
      <c r="A51" s="1"/>
      <c r="B51" s="1"/>
      <c r="C51" s="1"/>
      <c r="D51" s="1"/>
      <c r="E51" s="1"/>
      <c r="F51" s="1"/>
      <c r="G51" s="1" t="s">
        <v>175</v>
      </c>
      <c r="H51" s="1">
        <f>H50*H23</f>
        <v>7.3984916021207301</v>
      </c>
      <c r="I51" s="1" t="s">
        <v>27</v>
      </c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 t="s">
        <v>121</v>
      </c>
      <c r="X51" s="1">
        <f>X48*X49</f>
        <v>96</v>
      </c>
      <c r="Y51" s="1" t="s">
        <v>27</v>
      </c>
      <c r="Z51" s="1"/>
      <c r="AA51" s="1" t="s">
        <v>121</v>
      </c>
      <c r="AB51" s="1">
        <f>AB48*AB49</f>
        <v>96</v>
      </c>
      <c r="AC51" s="1" t="s">
        <v>27</v>
      </c>
      <c r="AD51" s="1"/>
      <c r="AE51" s="1" t="s">
        <v>121</v>
      </c>
      <c r="AF51" s="1">
        <f>AF48*AF49</f>
        <v>96</v>
      </c>
      <c r="AG51" s="1" t="s">
        <v>27</v>
      </c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</row>
    <row r="52" spans="1:48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 t="s">
        <v>64</v>
      </c>
      <c r="X52" s="1">
        <f>SUM(X39:X45)-X50-X51</f>
        <v>3361</v>
      </c>
      <c r="Y52" s="1" t="s">
        <v>27</v>
      </c>
      <c r="Z52" s="1"/>
      <c r="AA52" s="1" t="s">
        <v>64</v>
      </c>
      <c r="AB52" s="1">
        <f>SUM(AB39:AB45)-AB50-AB51</f>
        <v>3361</v>
      </c>
      <c r="AC52" s="1" t="s">
        <v>27</v>
      </c>
      <c r="AD52" s="1"/>
      <c r="AE52" s="1" t="s">
        <v>64</v>
      </c>
      <c r="AF52" s="1">
        <f>SUM(AF39:AF45)-AF50-AF51</f>
        <v>3361</v>
      </c>
      <c r="AG52" s="1" t="s">
        <v>27</v>
      </c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</row>
    <row r="53" spans="1:48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 t="s">
        <v>29</v>
      </c>
      <c r="X53" s="1">
        <v>573.28000000000009</v>
      </c>
      <c r="Y53" s="1" t="s">
        <v>27</v>
      </c>
      <c r="Z53" s="1"/>
      <c r="AA53" s="1" t="s">
        <v>29</v>
      </c>
      <c r="AB53" s="1">
        <v>407.68000000000006</v>
      </c>
      <c r="AC53" s="1" t="s">
        <v>27</v>
      </c>
      <c r="AD53" s="1"/>
      <c r="AE53" s="1" t="s">
        <v>29</v>
      </c>
      <c r="AF53" s="1">
        <v>2306.5600000000004</v>
      </c>
      <c r="AG53" s="1" t="s">
        <v>27</v>
      </c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</row>
    <row r="54" spans="1:48">
      <c r="A54" s="1"/>
      <c r="B54" s="1"/>
      <c r="C54" s="1"/>
      <c r="D54" s="1"/>
      <c r="E54" s="1"/>
      <c r="F54" s="1"/>
      <c r="G54" s="1"/>
      <c r="H54" s="1"/>
      <c r="I54" s="1"/>
      <c r="J54" s="9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 t="s">
        <v>40</v>
      </c>
      <c r="X54" s="5">
        <f>X53/X52</f>
        <v>0.17056828324903306</v>
      </c>
      <c r="Y54" s="1"/>
      <c r="Z54" s="1"/>
      <c r="AA54" s="1" t="s">
        <v>40</v>
      </c>
      <c r="AB54" s="5">
        <f>AB53/AB52</f>
        <v>0.12129723296637908</v>
      </c>
      <c r="AC54" s="1"/>
      <c r="AD54" s="1"/>
      <c r="AE54" s="1" t="s">
        <v>40</v>
      </c>
      <c r="AF54" s="5">
        <f>AF53/AF52</f>
        <v>0.68627194287414472</v>
      </c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</row>
    <row r="55" spans="1:48">
      <c r="A55" s="1"/>
      <c r="B55" s="1"/>
      <c r="C55" s="1"/>
      <c r="D55" s="1"/>
      <c r="E55" s="1"/>
      <c r="F55" s="1"/>
      <c r="G55" s="1"/>
      <c r="H55" s="1"/>
      <c r="I55" s="1"/>
      <c r="J55" s="9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 t="s">
        <v>76</v>
      </c>
      <c r="X55" s="1">
        <f>$X$54*X39</f>
        <v>13.645462659922645</v>
      </c>
      <c r="Y55" s="1" t="s">
        <v>27</v>
      </c>
      <c r="Z55" s="1"/>
      <c r="AA55" s="1" t="s">
        <v>76</v>
      </c>
      <c r="AB55" s="1">
        <f>$AB$54*AB39</f>
        <v>9.703778637310327</v>
      </c>
      <c r="AC55" s="1" t="s">
        <v>27</v>
      </c>
      <c r="AD55" s="1"/>
      <c r="AE55" s="1" t="s">
        <v>76</v>
      </c>
      <c r="AF55" s="1">
        <f>$AF$54*AF39</f>
        <v>54.901755429931576</v>
      </c>
      <c r="AG55" s="1" t="s">
        <v>27</v>
      </c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</row>
    <row r="56" spans="1:48">
      <c r="A56" s="1"/>
      <c r="B56" s="1"/>
      <c r="C56" s="1"/>
      <c r="D56" s="1"/>
      <c r="E56" s="1"/>
      <c r="F56" s="1"/>
      <c r="G56" s="1"/>
      <c r="H56" s="9"/>
      <c r="I56" s="1"/>
      <c r="J56" s="9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 t="s">
        <v>36</v>
      </c>
      <c r="X56" s="1">
        <f>$X$54*X40</f>
        <v>54.240714073192514</v>
      </c>
      <c r="Y56" s="1" t="s">
        <v>27</v>
      </c>
      <c r="Z56" s="1"/>
      <c r="AA56" s="1" t="s">
        <v>36</v>
      </c>
      <c r="AB56" s="1">
        <f t="shared" ref="AB56:AB61" si="15">$AB$54*AB40</f>
        <v>38.572520083308547</v>
      </c>
      <c r="AC56" s="1" t="s">
        <v>27</v>
      </c>
      <c r="AD56" s="1"/>
      <c r="AE56" s="1" t="s">
        <v>36</v>
      </c>
      <c r="AF56" s="1">
        <f t="shared" ref="AF56:AF62" si="16">$AF$54*AF40</f>
        <v>218.23447783397802</v>
      </c>
      <c r="AG56" s="1" t="s">
        <v>27</v>
      </c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</row>
    <row r="57" spans="1:48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 t="s">
        <v>122</v>
      </c>
      <c r="X57" s="1">
        <f t="shared" ref="X57:X62" si="17">$X$54*X41</f>
        <v>54.411282356441546</v>
      </c>
      <c r="Y57" s="1" t="s">
        <v>27</v>
      </c>
      <c r="Z57" s="1"/>
      <c r="AA57" s="1" t="s">
        <v>122</v>
      </c>
      <c r="AB57" s="1">
        <f t="shared" si="15"/>
        <v>38.693817316274924</v>
      </c>
      <c r="AC57" s="1" t="s">
        <v>27</v>
      </c>
      <c r="AD57" s="1"/>
      <c r="AE57" s="1" t="s">
        <v>122</v>
      </c>
      <c r="AF57" s="1">
        <f t="shared" si="16"/>
        <v>218.92074977685218</v>
      </c>
      <c r="AG57" s="1" t="s">
        <v>27</v>
      </c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</row>
    <row r="58" spans="1:48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 t="s">
        <v>123</v>
      </c>
      <c r="X58" s="1">
        <f t="shared" si="17"/>
        <v>325.78542100565312</v>
      </c>
      <c r="Y58" s="1" t="s">
        <v>27</v>
      </c>
      <c r="Z58" s="1"/>
      <c r="AA58" s="1" t="s">
        <v>123</v>
      </c>
      <c r="AB58" s="1">
        <f t="shared" si="15"/>
        <v>231.67771496578405</v>
      </c>
      <c r="AC58" s="1" t="s">
        <v>27</v>
      </c>
      <c r="AD58" s="1"/>
      <c r="AE58" s="1" t="s">
        <v>123</v>
      </c>
      <c r="AF58" s="1">
        <f t="shared" si="16"/>
        <v>1310.7794108896164</v>
      </c>
      <c r="AG58" s="1" t="s">
        <v>27</v>
      </c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</row>
    <row r="59" spans="1:48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 t="s">
        <v>124</v>
      </c>
      <c r="X59" s="1">
        <f t="shared" si="17"/>
        <v>99.44130913418627</v>
      </c>
      <c r="Y59" s="1" t="s">
        <v>27</v>
      </c>
      <c r="Z59" s="1"/>
      <c r="AA59" s="1" t="s">
        <v>124</v>
      </c>
      <c r="AB59" s="1">
        <f t="shared" si="15"/>
        <v>70.716286819399002</v>
      </c>
      <c r="AC59" s="1" t="s">
        <v>27</v>
      </c>
      <c r="AD59" s="1"/>
      <c r="AE59" s="1" t="s">
        <v>124</v>
      </c>
      <c r="AF59" s="1">
        <f>$AF$54*AF43</f>
        <v>400.0965426956264</v>
      </c>
      <c r="AG59" s="1" t="s">
        <v>27</v>
      </c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</row>
    <row r="60" spans="1:48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 t="s">
        <v>125</v>
      </c>
      <c r="X60" s="1">
        <f>$X$54*X44</f>
        <v>3.9230705147277605</v>
      </c>
      <c r="Y60" s="1" t="s">
        <v>27</v>
      </c>
      <c r="Z60" s="1"/>
      <c r="AA60" s="1" t="s">
        <v>125</v>
      </c>
      <c r="AB60" s="1">
        <f t="shared" si="15"/>
        <v>2.7898363582267187</v>
      </c>
      <c r="AC60" s="1" t="s">
        <v>27</v>
      </c>
      <c r="AD60" s="1"/>
      <c r="AE60" s="1" t="s">
        <v>125</v>
      </c>
      <c r="AF60" s="1">
        <f t="shared" si="16"/>
        <v>15.784254686105328</v>
      </c>
      <c r="AG60" s="1" t="s">
        <v>27</v>
      </c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</row>
    <row r="61" spans="1:48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 t="s">
        <v>126</v>
      </c>
      <c r="X61" s="1">
        <f t="shared" si="17"/>
        <v>65.498220767628695</v>
      </c>
      <c r="Y61" s="1" t="s">
        <v>27</v>
      </c>
      <c r="Z61" s="1"/>
      <c r="AA61" s="1" t="s">
        <v>126</v>
      </c>
      <c r="AB61" s="1">
        <f t="shared" si="15"/>
        <v>46.578137459089568</v>
      </c>
      <c r="AC61" s="1" t="s">
        <v>27</v>
      </c>
      <c r="AD61" s="1"/>
      <c r="AE61" s="1" t="s">
        <v>126</v>
      </c>
      <c r="AF61" s="1">
        <f t="shared" si="16"/>
        <v>263.52842606367159</v>
      </c>
      <c r="AG61" s="1" t="s">
        <v>27</v>
      </c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</row>
    <row r="62" spans="1:48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 t="s">
        <v>83</v>
      </c>
      <c r="X62" s="1">
        <f t="shared" si="17"/>
        <v>13.645462659922645</v>
      </c>
      <c r="Y62" s="1" t="s">
        <v>22</v>
      </c>
      <c r="Z62" s="1"/>
      <c r="AA62" s="1" t="s">
        <v>83</v>
      </c>
      <c r="AB62" s="1">
        <f>$AB$54*AB46</f>
        <v>9.703778637310327</v>
      </c>
      <c r="AC62" s="1" t="s">
        <v>22</v>
      </c>
      <c r="AD62" s="1"/>
      <c r="AE62" s="1" t="s">
        <v>83</v>
      </c>
      <c r="AF62" s="1">
        <f t="shared" si="16"/>
        <v>54.901755429931576</v>
      </c>
      <c r="AG62" s="1" t="s">
        <v>22</v>
      </c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</row>
    <row r="63" spans="1:48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 t="s">
        <v>127</v>
      </c>
      <c r="X63" s="1">
        <f>X54*X50</f>
        <v>27.290925319845289</v>
      </c>
      <c r="Y63" s="1" t="s">
        <v>27</v>
      </c>
      <c r="Z63" s="1"/>
      <c r="AA63" s="1" t="s">
        <v>127</v>
      </c>
      <c r="AB63" s="1">
        <f>AB54*AB50</f>
        <v>19.407557274620654</v>
      </c>
      <c r="AC63" s="1" t="s">
        <v>27</v>
      </c>
      <c r="AD63" s="1"/>
      <c r="AE63" s="1" t="s">
        <v>127</v>
      </c>
      <c r="AF63" s="1">
        <f>AF54*AF50</f>
        <v>109.80351085986315</v>
      </c>
      <c r="AG63" s="1" t="s">
        <v>27</v>
      </c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</row>
    <row r="64" spans="1:48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 t="s">
        <v>128</v>
      </c>
      <c r="X64" s="1">
        <f>X54*X51</f>
        <v>16.374555191907174</v>
      </c>
      <c r="Y64" s="1" t="s">
        <v>27</v>
      </c>
      <c r="Z64" s="1"/>
      <c r="AA64" s="1" t="s">
        <v>128</v>
      </c>
      <c r="AB64" s="1">
        <f>AB54*AB51</f>
        <v>11.644534364772392</v>
      </c>
      <c r="AC64" s="1" t="s">
        <v>27</v>
      </c>
      <c r="AD64" s="1"/>
      <c r="AE64" s="1" t="s">
        <v>128</v>
      </c>
      <c r="AF64" s="1">
        <f>AF54*AF51</f>
        <v>65.882106515917897</v>
      </c>
      <c r="AG64" s="1" t="s">
        <v>27</v>
      </c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</row>
    <row r="65" spans="1:48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 t="s">
        <v>181</v>
      </c>
      <c r="X65" s="1">
        <v>0.01</v>
      </c>
      <c r="Y65" s="1" t="s">
        <v>107</v>
      </c>
      <c r="Z65" s="1"/>
      <c r="AA65" s="1" t="s">
        <v>181</v>
      </c>
      <c r="AB65" s="1">
        <v>0.01</v>
      </c>
      <c r="AC65" s="1" t="s">
        <v>107</v>
      </c>
      <c r="AD65" s="1"/>
      <c r="AE65" s="1" t="s">
        <v>181</v>
      </c>
      <c r="AF65" s="1">
        <v>0.01</v>
      </c>
      <c r="AG65" s="1" t="s">
        <v>107</v>
      </c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</row>
    <row r="66" spans="1:48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1" t="s">
        <v>182</v>
      </c>
      <c r="X66" s="11">
        <v>1.07</v>
      </c>
      <c r="Y66" s="11" t="s">
        <v>107</v>
      </c>
      <c r="Z66" s="1"/>
      <c r="AA66" s="11" t="s">
        <v>182</v>
      </c>
      <c r="AB66" s="11">
        <v>1.07</v>
      </c>
      <c r="AC66" s="11" t="s">
        <v>107</v>
      </c>
      <c r="AD66" s="1"/>
      <c r="AE66" s="11" t="s">
        <v>182</v>
      </c>
      <c r="AF66" s="11">
        <v>1.07</v>
      </c>
      <c r="AG66" s="11" t="s">
        <v>107</v>
      </c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</row>
    <row r="67" spans="1:48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 t="s">
        <v>183</v>
      </c>
      <c r="X67" s="1">
        <f>X65*X49</f>
        <v>32</v>
      </c>
      <c r="Y67" s="1" t="s">
        <v>27</v>
      </c>
      <c r="Z67" s="1"/>
      <c r="AA67" s="1" t="s">
        <v>183</v>
      </c>
      <c r="AB67" s="1">
        <f>AB65*AB49</f>
        <v>32</v>
      </c>
      <c r="AC67" s="1" t="s">
        <v>27</v>
      </c>
      <c r="AD67" s="1"/>
      <c r="AE67" s="1" t="s">
        <v>183</v>
      </c>
      <c r="AF67" s="1">
        <f>AF65*AF49</f>
        <v>32</v>
      </c>
      <c r="AG67" s="1" t="s">
        <v>27</v>
      </c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</row>
    <row r="68" spans="1:48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1" t="s">
        <v>184</v>
      </c>
      <c r="X68" s="1">
        <f>X66*X49</f>
        <v>3424</v>
      </c>
      <c r="Y68" s="1" t="s">
        <v>27</v>
      </c>
      <c r="Z68" s="1"/>
      <c r="AA68" s="11" t="s">
        <v>184</v>
      </c>
      <c r="AB68" s="1">
        <f>AB66*AB49</f>
        <v>3424</v>
      </c>
      <c r="AC68" s="1" t="s">
        <v>27</v>
      </c>
      <c r="AD68" s="1"/>
      <c r="AE68" s="11" t="s">
        <v>184</v>
      </c>
      <c r="AF68" s="1">
        <f>AF66*AF49</f>
        <v>3424</v>
      </c>
      <c r="AG68" s="1" t="s">
        <v>27</v>
      </c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</row>
    <row r="69" spans="1:48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 t="s">
        <v>185</v>
      </c>
      <c r="X69" s="1">
        <f>X67*X54</f>
        <v>5.4581850639690579</v>
      </c>
      <c r="Y69" s="1" t="s">
        <v>27</v>
      </c>
      <c r="Z69" s="1"/>
      <c r="AA69" s="1" t="s">
        <v>185</v>
      </c>
      <c r="AB69" s="1">
        <f>AB67*AB54</f>
        <v>3.8815114549241305</v>
      </c>
      <c r="AC69" s="1" t="s">
        <v>27</v>
      </c>
      <c r="AD69" s="1"/>
      <c r="AE69" s="1" t="s">
        <v>185</v>
      </c>
      <c r="AF69" s="1">
        <f>AF67*AF54</f>
        <v>21.960702171972631</v>
      </c>
      <c r="AG69" s="1" t="s">
        <v>27</v>
      </c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</row>
    <row r="70" spans="1:48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1" t="s">
        <v>186</v>
      </c>
      <c r="X70" s="1">
        <f>X68*X54</f>
        <v>584.02580184468923</v>
      </c>
      <c r="Y70" s="1" t="s">
        <v>27</v>
      </c>
      <c r="Z70" s="1"/>
      <c r="AA70" s="11" t="s">
        <v>186</v>
      </c>
      <c r="AB70" s="1">
        <f>AB68*AB54</f>
        <v>415.32172567688195</v>
      </c>
      <c r="AC70" s="1" t="s">
        <v>27</v>
      </c>
      <c r="AD70" s="1"/>
      <c r="AE70" s="11" t="s">
        <v>186</v>
      </c>
      <c r="AF70" s="1">
        <f>AF68*AF54</f>
        <v>2349.7951324010714</v>
      </c>
      <c r="AG70" s="1" t="s">
        <v>27</v>
      </c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</row>
    <row r="71" spans="1:48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</row>
    <row r="72" spans="1:48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</row>
    <row r="73" spans="1:48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</row>
    <row r="74" spans="1:48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</row>
    <row r="75" spans="1:48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</row>
    <row r="76" spans="1:48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</row>
    <row r="77" spans="1:48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</row>
    <row r="78" spans="1:48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</row>
    <row r="79" spans="1:48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</row>
    <row r="80" spans="1:48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</row>
    <row r="81" spans="1:48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</row>
    <row r="82" spans="1:48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</row>
    <row r="83" spans="1:48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</row>
    <row r="84" spans="1:48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</row>
    <row r="85" spans="1:48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</row>
    <row r="86" spans="1:48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</row>
    <row r="87" spans="1:48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</row>
    <row r="88" spans="1:48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</row>
    <row r="89" spans="1:48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</row>
    <row r="90" spans="1:48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</row>
    <row r="91" spans="1:48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</row>
    <row r="92" spans="1:48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</row>
    <row r="93" spans="1:48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</row>
    <row r="94" spans="1:48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</row>
    <row r="95" spans="1:48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</row>
    <row r="96" spans="1:48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</row>
    <row r="97" spans="1:48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</row>
    <row r="98" spans="1:48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</row>
    <row r="99" spans="1:48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</row>
    <row r="100" spans="1:48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</row>
    <row r="101" spans="1:48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</row>
    <row r="102" spans="1:48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</row>
    <row r="103" spans="1:48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</row>
    <row r="104" spans="1:48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</row>
    <row r="105" spans="1:48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</row>
    <row r="106" spans="1:48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</row>
    <row r="107" spans="1:48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</row>
    <row r="108" spans="1:48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</row>
    <row r="109" spans="1:48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</row>
    <row r="110" spans="1:48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</row>
    <row r="111" spans="1:48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</row>
    <row r="112" spans="1:48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</row>
    <row r="113" spans="1:48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</row>
    <row r="114" spans="1:48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</row>
    <row r="115" spans="1:48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</row>
    <row r="116" spans="1:48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</row>
    <row r="117" spans="1:48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</row>
    <row r="118" spans="1:48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</row>
    <row r="119" spans="1:48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</row>
    <row r="120" spans="1:48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</row>
    <row r="121" spans="1:48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</row>
    <row r="122" spans="1:48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</row>
    <row r="123" spans="1:48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</row>
    <row r="124" spans="1:48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</row>
    <row r="125" spans="1:48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</row>
    <row r="126" spans="1:48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</row>
    <row r="127" spans="1:48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</row>
    <row r="128" spans="1:48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</row>
    <row r="129" spans="1:48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</row>
    <row r="130" spans="1:48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</row>
    <row r="131" spans="1:48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</row>
    <row r="132" spans="1:48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</row>
    <row r="133" spans="1:48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</row>
    <row r="134" spans="1:48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</row>
    <row r="135" spans="1:48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</row>
    <row r="136" spans="1:48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</row>
    <row r="137" spans="1:48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</row>
    <row r="138" spans="1:48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</row>
    <row r="139" spans="1:48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</row>
    <row r="140" spans="1:48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</row>
    <row r="141" spans="1:48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</row>
    <row r="142" spans="1:48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</row>
    <row r="143" spans="1:48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</row>
    <row r="144" spans="1:48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</row>
    <row r="145" spans="1:48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</row>
    <row r="146" spans="1:48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</row>
    <row r="147" spans="1:48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</row>
    <row r="148" spans="1:48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</row>
    <row r="149" spans="1:48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</row>
    <row r="150" spans="1:48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</row>
    <row r="151" spans="1:48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</row>
    <row r="152" spans="1:48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</row>
    <row r="153" spans="1:48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</row>
    <row r="154" spans="1:48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</row>
    <row r="155" spans="1:48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</row>
    <row r="156" spans="1:48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</row>
    <row r="157" spans="1:48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</row>
    <row r="158" spans="1:48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</row>
    <row r="159" spans="1:48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</row>
    <row r="160" spans="1:48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</row>
    <row r="161" spans="1:48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</row>
    <row r="162" spans="1:48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</row>
    <row r="163" spans="1:48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</row>
    <row r="164" spans="1:48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</row>
    <row r="165" spans="1:48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</row>
    <row r="166" spans="1:48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</row>
    <row r="167" spans="1:48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</row>
    <row r="168" spans="1:48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</row>
    <row r="169" spans="1:48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</row>
    <row r="170" spans="1:48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</row>
    <row r="171" spans="1:48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</row>
    <row r="172" spans="1:48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</row>
    <row r="173" spans="1:48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</row>
    <row r="174" spans="1:48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</row>
    <row r="175" spans="1:48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</row>
    <row r="176" spans="1:48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</row>
    <row r="177" spans="1:48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</row>
    <row r="178" spans="1:48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</row>
    <row r="179" spans="1:48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</row>
    <row r="180" spans="1:48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</row>
    <row r="181" spans="1:48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</row>
    <row r="182" spans="1:48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</row>
    <row r="183" spans="1:48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</row>
    <row r="184" spans="1:48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</row>
    <row r="185" spans="1:48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</row>
    <row r="186" spans="1:48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</row>
    <row r="187" spans="1:48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</row>
    <row r="188" spans="1:48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</row>
    <row r="189" spans="1:48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</row>
    <row r="190" spans="1:48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</row>
    <row r="191" spans="1:48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</row>
    <row r="192" spans="1:48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</row>
    <row r="193" spans="1:48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</row>
    <row r="194" spans="1:48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</row>
    <row r="195" spans="1:48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</row>
    <row r="196" spans="1:48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</row>
    <row r="197" spans="1:48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</row>
    <row r="198" spans="1:48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</row>
    <row r="199" spans="1:48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</row>
    <row r="200" spans="1:48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</row>
    <row r="201" spans="1:48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</row>
    <row r="202" spans="1:48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</row>
    <row r="203" spans="1:48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</row>
    <row r="204" spans="1:48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</row>
    <row r="205" spans="1:48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</row>
    <row r="206" spans="1:48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</row>
    <row r="207" spans="1:48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</row>
    <row r="208" spans="1:48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</row>
    <row r="209" spans="1:48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</row>
    <row r="210" spans="1:48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</row>
    <row r="211" spans="1:48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</row>
    <row r="212" spans="1:48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</row>
    <row r="213" spans="1:48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</row>
    <row r="214" spans="1:48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</row>
    <row r="215" spans="1:48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</row>
    <row r="216" spans="1:48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</row>
    <row r="217" spans="1:48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</row>
    <row r="218" spans="1:48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</row>
    <row r="219" spans="1:48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</row>
    <row r="220" spans="1:48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</row>
    <row r="221" spans="1:48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</row>
    <row r="222" spans="1:48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</row>
    <row r="223" spans="1:48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</row>
    <row r="224" spans="1:48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</row>
    <row r="225" spans="1:48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</row>
    <row r="226" spans="1:48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</row>
    <row r="227" spans="1:48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</row>
    <row r="228" spans="1:48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</row>
    <row r="229" spans="1:48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</row>
    <row r="230" spans="1:48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</row>
    <row r="231" spans="1:48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</row>
    <row r="232" spans="1:48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</row>
    <row r="233" spans="1:48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</row>
    <row r="234" spans="1:48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</row>
    <row r="235" spans="1:48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</row>
    <row r="236" spans="1:48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</row>
    <row r="237" spans="1:48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</row>
    <row r="238" spans="1:48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</row>
    <row r="239" spans="1:48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</row>
    <row r="240" spans="1:48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</row>
    <row r="241" spans="1:48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</row>
    <row r="242" spans="1:48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</row>
    <row r="243" spans="1:48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</row>
    <row r="244" spans="1:48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</row>
    <row r="245" spans="1:48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</row>
    <row r="246" spans="1:48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</row>
    <row r="247" spans="1:48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</row>
    <row r="248" spans="1:48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</row>
    <row r="249" spans="1:48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</row>
    <row r="250" spans="1:48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</row>
    <row r="251" spans="1:48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</row>
    <row r="252" spans="1:48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</row>
    <row r="253" spans="1:48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</row>
    <row r="254" spans="1:48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</row>
    <row r="255" spans="1:48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</row>
    <row r="256" spans="1:48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</row>
    <row r="257" spans="1:48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</row>
    <row r="258" spans="1:48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</row>
    <row r="259" spans="1:48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</row>
    <row r="260" spans="1:48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</row>
    <row r="261" spans="1:48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</row>
    <row r="262" spans="1:48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</row>
    <row r="263" spans="1:48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</row>
    <row r="264" spans="1:48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</row>
    <row r="265" spans="1:48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</row>
    <row r="266" spans="1:48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</row>
    <row r="267" spans="1:48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</row>
    <row r="268" spans="1:48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</row>
    <row r="269" spans="1:48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</row>
    <row r="270" spans="1:48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</row>
    <row r="271" spans="1:48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</row>
  </sheetData>
  <mergeCells count="18">
    <mergeCell ref="AM4:AO4"/>
    <mergeCell ref="AI4:AK4"/>
    <mergeCell ref="W4:Y4"/>
    <mergeCell ref="AA4:AC4"/>
    <mergeCell ref="AE4:AG4"/>
    <mergeCell ref="C25:E25"/>
    <mergeCell ref="C18:E18"/>
    <mergeCell ref="K4:M4"/>
    <mergeCell ref="C46:E46"/>
    <mergeCell ref="AE38:AG38"/>
    <mergeCell ref="AA38:AC38"/>
    <mergeCell ref="W38:Y38"/>
    <mergeCell ref="C32:E32"/>
    <mergeCell ref="C39:E39"/>
    <mergeCell ref="O4:Q4"/>
    <mergeCell ref="S4:U4"/>
    <mergeCell ref="C4:E4"/>
    <mergeCell ref="G4:I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5D885B-C861-5442-8B07-F4F1D9A0892C}">
  <dimension ref="A1:AG92"/>
  <sheetViews>
    <sheetView tabSelected="1" workbookViewId="0">
      <selection activeCell="C16" sqref="C16"/>
    </sheetView>
  </sheetViews>
  <sheetFormatPr baseColWidth="10" defaultRowHeight="16"/>
  <cols>
    <col min="2" max="2" width="29.6640625" bestFit="1" customWidth="1"/>
    <col min="4" max="4" width="17.33203125" bestFit="1" customWidth="1"/>
  </cols>
  <sheetData>
    <row r="1" spans="1:3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>
      <c r="A5" s="1"/>
      <c r="B5" s="26" t="s">
        <v>265</v>
      </c>
      <c r="C5" s="26"/>
      <c r="D5" s="5" t="s">
        <v>23</v>
      </c>
      <c r="E5" s="3" t="s">
        <v>188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3">
      <c r="A6" s="1"/>
      <c r="B6" s="1" t="s">
        <v>266</v>
      </c>
      <c r="C6" s="1">
        <v>399</v>
      </c>
      <c r="D6" s="1" t="s">
        <v>274</v>
      </c>
      <c r="E6" s="20" t="s">
        <v>275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>
      <c r="A7" s="1"/>
      <c r="B7" s="1" t="s">
        <v>267</v>
      </c>
      <c r="C7" s="1">
        <v>0.27500000000000002</v>
      </c>
      <c r="D7" s="1" t="s">
        <v>270</v>
      </c>
      <c r="E7" s="20" t="s">
        <v>269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>
      <c r="A8" s="1"/>
      <c r="B8" s="1" t="s">
        <v>271</v>
      </c>
      <c r="C8" s="1">
        <f>7000/30</f>
        <v>233.33333333333334</v>
      </c>
      <c r="D8" s="1"/>
      <c r="E8" s="1" t="s">
        <v>276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33">
      <c r="A9" s="1"/>
      <c r="B9" s="1" t="s">
        <v>272</v>
      </c>
      <c r="C9" s="1">
        <v>7.4</v>
      </c>
      <c r="D9" s="1" t="s">
        <v>273</v>
      </c>
      <c r="E9" s="20" t="s">
        <v>277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</row>
    <row r="10" spans="1:33">
      <c r="A10" s="1"/>
      <c r="B10" s="1" t="s">
        <v>268</v>
      </c>
      <c r="C10" s="1">
        <f>C9*C8*30</f>
        <v>51800</v>
      </c>
      <c r="D10" s="1" t="s">
        <v>273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33">
      <c r="A11" s="1"/>
      <c r="B11" s="19" t="s">
        <v>265</v>
      </c>
      <c r="C11" s="19">
        <f>C6*C7*C10</f>
        <v>5683755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spans="1:3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</row>
    <row r="14" spans="1:3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spans="1:3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pans="1:3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</row>
    <row r="17" spans="1:3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spans="1:3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</row>
    <row r="19" spans="1:3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1:3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</row>
    <row r="21" spans="1:3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</row>
    <row r="22" spans="1:3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</row>
    <row r="23" spans="1:3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</row>
    <row r="24" spans="1:3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pans="1:3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spans="1:3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</row>
    <row r="27" spans="1:3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</row>
    <row r="28" spans="1:3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spans="1:3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</row>
    <row r="30" spans="1:3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spans="1:3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  <row r="32" spans="1:3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spans="1:3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</row>
    <row r="35" spans="1:3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</row>
    <row r="36" spans="1:3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</row>
    <row r="37" spans="1:3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</row>
    <row r="38" spans="1:3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</row>
    <row r="39" spans="1:3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</row>
    <row r="40" spans="1:3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</row>
    <row r="41" spans="1:3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</row>
    <row r="42" spans="1:3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</row>
    <row r="43" spans="1:3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</row>
    <row r="44" spans="1:3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</row>
    <row r="45" spans="1:3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</row>
    <row r="46" spans="1:3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</row>
    <row r="47" spans="1:3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</row>
    <row r="48" spans="1:3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</row>
    <row r="49" spans="1:3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</row>
    <row r="50" spans="1:3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spans="1:3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spans="1:3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spans="1:3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spans="1:3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spans="1:3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</row>
    <row r="56" spans="1:3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</row>
    <row r="57" spans="1:3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</row>
    <row r="58" spans="1:3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</row>
    <row r="59" spans="1:3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:3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spans="1:3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spans="1:3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spans="1:3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</row>
    <row r="65" spans="1:3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</row>
    <row r="66" spans="1:3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</row>
    <row r="67" spans="1:3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</row>
    <row r="68" spans="1:3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</row>
    <row r="69" spans="1:3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</row>
    <row r="70" spans="1:3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</row>
    <row r="71" spans="1:3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</row>
    <row r="72" spans="1:3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</row>
    <row r="73" spans="1:3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</row>
    <row r="74" spans="1:3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</row>
    <row r="75" spans="1:3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</row>
    <row r="76" spans="1:3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</row>
    <row r="77" spans="1:3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</row>
    <row r="78" spans="1:3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</row>
    <row r="79" spans="1:3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</row>
    <row r="80" spans="1:3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</row>
    <row r="81" spans="1:3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</row>
    <row r="82" spans="1:3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</row>
    <row r="83" spans="1:3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</row>
    <row r="84" spans="1:3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</row>
    <row r="85" spans="1:3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</row>
    <row r="86" spans="1:3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</row>
    <row r="87" spans="1:3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</row>
    <row r="88" spans="1:3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</row>
    <row r="89" spans="1:3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</row>
    <row r="90" spans="1:3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</row>
    <row r="91" spans="1:3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</row>
    <row r="92" spans="1:3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</row>
  </sheetData>
  <mergeCells count="1">
    <mergeCell ref="B5:C5"/>
  </mergeCells>
  <hyperlinks>
    <hyperlink ref="E7" r:id="rId1" xr:uid="{A6B64D94-C865-5348-94B6-12AFA8DF9761}"/>
    <hyperlink ref="E6" r:id="rId2" xr:uid="{A8544CA3-B965-914E-B0B0-DC84146B4342}"/>
    <hyperlink ref="E9" r:id="rId3" xr:uid="{DD07D1B7-C5AD-5741-AF9D-D837287BB824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Lifetime calculations</vt:lpstr>
      <vt:lpstr>Electricity</vt:lpstr>
      <vt:lpstr>Efficiencies and losses</vt:lpstr>
      <vt:lpstr>Components</vt:lpstr>
      <vt:lpstr>Functional units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Sandnes Galaaen</dc:creator>
  <cp:lastModifiedBy>Julie Sandnes Galaaen</cp:lastModifiedBy>
  <dcterms:created xsi:type="dcterms:W3CDTF">2020-02-12T09:22:59Z</dcterms:created>
  <dcterms:modified xsi:type="dcterms:W3CDTF">2020-06-18T09:03:54Z</dcterms:modified>
</cp:coreProperties>
</file>