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ine\Desktop\Zip\"/>
    </mc:Choice>
  </mc:AlternateContent>
  <bookViews>
    <workbookView xWindow="0" yWindow="0" windowWidth="23040" windowHeight="9408"/>
  </bookViews>
  <sheets>
    <sheet name="Ark1" sheetId="1" r:id="rId1"/>
    <sheet name="Ark2" sheetId="2" r:id="rId2"/>
    <sheet name="Ark3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O24" i="1" l="1"/>
  <c r="N26" i="1"/>
  <c r="P24" i="1"/>
  <c r="C31" i="1" s="1"/>
  <c r="M24" i="1"/>
  <c r="N24" i="1"/>
  <c r="K24" i="1"/>
  <c r="B32" i="1" s="1"/>
  <c r="B14" i="2"/>
  <c r="B17" i="2"/>
  <c r="B26" i="2"/>
  <c r="B28" i="2"/>
  <c r="B7" i="2"/>
  <c r="B10" i="2" s="1"/>
  <c r="B11" i="2" s="1"/>
  <c r="B31" i="1" l="1"/>
  <c r="C32" i="1"/>
  <c r="B22" i="2"/>
  <c r="B23" i="2" s="1"/>
  <c r="B19" i="2"/>
  <c r="B20" i="2" s="1"/>
  <c r="E6" i="2" l="1"/>
  <c r="C5" i="3"/>
  <c r="C6" i="3" s="1"/>
  <c r="C4" i="3"/>
  <c r="D4" i="3" s="1"/>
  <c r="B4" i="3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D3" i="3"/>
  <c r="C3" i="3"/>
  <c r="B3" i="3"/>
  <c r="D2" i="3"/>
  <c r="E5" i="2"/>
  <c r="E4" i="2"/>
  <c r="E3" i="2"/>
  <c r="C27" i="1"/>
  <c r="B27" i="1"/>
  <c r="G37" i="1"/>
  <c r="G38" i="1" s="1"/>
  <c r="E27" i="1" l="1"/>
  <c r="E29" i="1" s="1"/>
  <c r="C7" i="3"/>
  <c r="D6" i="3"/>
  <c r="D5" i="3"/>
  <c r="D12" i="1"/>
  <c r="H12" i="1" l="1"/>
  <c r="R12" i="1"/>
  <c r="S12" i="1" s="1"/>
  <c r="U12" i="1"/>
  <c r="D7" i="3"/>
  <c r="C8" i="3"/>
  <c r="I12" i="1"/>
  <c r="J24" i="1"/>
  <c r="V12" i="1" s="1"/>
  <c r="B1" i="1"/>
  <c r="L19" i="1" l="1"/>
  <c r="L14" i="1"/>
  <c r="L15" i="1" s="1"/>
  <c r="D8" i="3"/>
  <c r="C9" i="3"/>
  <c r="B8" i="1"/>
  <c r="T12" i="1" s="1"/>
  <c r="F12" i="1"/>
  <c r="Q20" i="1" l="1"/>
  <c r="Q12" i="1"/>
  <c r="D9" i="3"/>
  <c r="C10" i="3"/>
  <c r="G12" i="1"/>
  <c r="K12" i="1" s="1"/>
  <c r="P26" i="1" l="1"/>
  <c r="G28" i="1" s="1"/>
  <c r="G29" i="1" s="1"/>
  <c r="Q24" i="1"/>
  <c r="C11" i="3"/>
  <c r="D10" i="3"/>
  <c r="G39" i="1"/>
  <c r="K20" i="1"/>
  <c r="L20" i="1"/>
  <c r="N19" i="1"/>
  <c r="M20" i="1"/>
  <c r="N20" i="1"/>
  <c r="M12" i="1"/>
  <c r="N12" i="1"/>
  <c r="M19" i="1"/>
  <c r="L12" i="1"/>
  <c r="J26" i="1" l="1"/>
  <c r="L13" i="1"/>
  <c r="L16" i="1" s="1"/>
  <c r="D11" i="3"/>
  <c r="C12" i="3"/>
  <c r="B28" i="1"/>
  <c r="B29" i="1" s="1"/>
  <c r="C28" i="1"/>
  <c r="C29" i="1" s="1"/>
  <c r="C34" i="1" s="1"/>
  <c r="C35" i="1" s="1"/>
  <c r="P20" i="1"/>
  <c r="L21" i="1"/>
  <c r="O20" i="1"/>
  <c r="N21" i="1"/>
  <c r="N22" i="1" s="1"/>
  <c r="P19" i="1"/>
  <c r="O19" i="1"/>
  <c r="M21" i="1"/>
  <c r="M22" i="1" s="1"/>
  <c r="L25" i="1" l="1"/>
  <c r="O16" i="1"/>
  <c r="D12" i="3"/>
  <c r="C13" i="3"/>
  <c r="P21" i="1"/>
  <c r="O21" i="1"/>
  <c r="L22" i="1"/>
  <c r="C14" i="3" l="1"/>
  <c r="D13" i="3"/>
  <c r="G32" i="1"/>
  <c r="G34" i="1" s="1"/>
  <c r="O22" i="1"/>
  <c r="P16" i="1"/>
  <c r="C15" i="3" l="1"/>
  <c r="D14" i="3"/>
  <c r="B34" i="1"/>
  <c r="P22" i="1"/>
  <c r="G40" i="1" l="1"/>
  <c r="G41" i="1" s="1"/>
  <c r="B35" i="1"/>
  <c r="C16" i="3"/>
  <c r="D15" i="3"/>
  <c r="D16" i="3" l="1"/>
  <c r="C17" i="3"/>
  <c r="C18" i="3" l="1"/>
  <c r="D17" i="3"/>
  <c r="C19" i="3" l="1"/>
  <c r="D18" i="3"/>
  <c r="C20" i="3" l="1"/>
  <c r="D19" i="3"/>
  <c r="D20" i="3" l="1"/>
  <c r="C21" i="3"/>
  <c r="C22" i="3" l="1"/>
  <c r="D21" i="3"/>
  <c r="C23" i="3" l="1"/>
  <c r="D22" i="3"/>
  <c r="D23" i="3" l="1"/>
  <c r="C24" i="3"/>
  <c r="D24" i="3" l="1"/>
  <c r="C25" i="3"/>
  <c r="D25" i="3" l="1"/>
  <c r="C26" i="3"/>
  <c r="C27" i="3" l="1"/>
  <c r="D26" i="3"/>
  <c r="D27" i="3" l="1"/>
  <c r="C28" i="3"/>
  <c r="D28" i="3" l="1"/>
  <c r="C29" i="3"/>
  <c r="C30" i="3" l="1"/>
  <c r="D29" i="3"/>
  <c r="C31" i="3" l="1"/>
  <c r="D30" i="3"/>
  <c r="C32" i="3" l="1"/>
  <c r="D31" i="3"/>
  <c r="D32" i="3" l="1"/>
  <c r="C33" i="3"/>
  <c r="C34" i="3" l="1"/>
  <c r="D33" i="3"/>
  <c r="C35" i="3" l="1"/>
  <c r="D34" i="3"/>
  <c r="C36" i="3" l="1"/>
  <c r="D35" i="3"/>
  <c r="D36" i="3" l="1"/>
  <c r="C37" i="3"/>
  <c r="C38" i="3" l="1"/>
  <c r="D37" i="3"/>
  <c r="C39" i="3" l="1"/>
  <c r="D38" i="3"/>
  <c r="D39" i="3" l="1"/>
  <c r="C40" i="3"/>
  <c r="D40" i="3" l="1"/>
  <c r="C41" i="3"/>
  <c r="D41" i="3" l="1"/>
  <c r="C42" i="3"/>
  <c r="C43" i="3" l="1"/>
  <c r="D42" i="3"/>
  <c r="D43" i="3" l="1"/>
  <c r="C44" i="3"/>
  <c r="D44" i="3" l="1"/>
  <c r="C45" i="3"/>
  <c r="C46" i="3" l="1"/>
  <c r="D45" i="3"/>
  <c r="C47" i="3" l="1"/>
  <c r="D46" i="3"/>
  <c r="C48" i="3" l="1"/>
  <c r="D47" i="3"/>
  <c r="D48" i="3" l="1"/>
  <c r="C49" i="3"/>
  <c r="C50" i="3" l="1"/>
  <c r="D49" i="3"/>
  <c r="C51" i="3" l="1"/>
  <c r="D50" i="3"/>
  <c r="C52" i="3" l="1"/>
  <c r="D51" i="3"/>
  <c r="D52" i="3" l="1"/>
  <c r="C53" i="3"/>
  <c r="C54" i="3" l="1"/>
  <c r="D53" i="3"/>
  <c r="C55" i="3" l="1"/>
  <c r="D54" i="3"/>
  <c r="D55" i="3" l="1"/>
  <c r="C56" i="3"/>
  <c r="D56" i="3" l="1"/>
  <c r="C57" i="3"/>
  <c r="D57" i="3" l="1"/>
  <c r="C58" i="3"/>
  <c r="C59" i="3" l="1"/>
  <c r="D58" i="3"/>
  <c r="C60" i="3" l="1"/>
  <c r="D59" i="3"/>
  <c r="D60" i="3" l="1"/>
  <c r="C61" i="3"/>
  <c r="D61" i="3" l="1"/>
  <c r="C62" i="3"/>
  <c r="C63" i="3" l="1"/>
  <c r="D62" i="3"/>
  <c r="C64" i="3" l="1"/>
  <c r="D63" i="3"/>
  <c r="D64" i="3" l="1"/>
  <c r="C65" i="3"/>
  <c r="D65" i="3" l="1"/>
  <c r="C66" i="3"/>
  <c r="C67" i="3" l="1"/>
  <c r="D66" i="3"/>
  <c r="C68" i="3" l="1"/>
  <c r="D67" i="3"/>
  <c r="D68" i="3" l="1"/>
  <c r="C69" i="3"/>
  <c r="D69" i="3" l="1"/>
  <c r="C70" i="3"/>
  <c r="C71" i="3" l="1"/>
  <c r="D70" i="3"/>
  <c r="C72" i="3" l="1"/>
  <c r="D71" i="3"/>
  <c r="D72" i="3" l="1"/>
  <c r="C73" i="3"/>
  <c r="D73" i="3" l="1"/>
  <c r="C74" i="3"/>
  <c r="C75" i="3" l="1"/>
  <c r="D74" i="3"/>
  <c r="C76" i="3" l="1"/>
  <c r="D75" i="3"/>
  <c r="D76" i="3" l="1"/>
  <c r="C77" i="3"/>
  <c r="D77" i="3" l="1"/>
  <c r="C78" i="3"/>
  <c r="C79" i="3" l="1"/>
  <c r="D78" i="3"/>
  <c r="C80" i="3" l="1"/>
  <c r="D79" i="3"/>
  <c r="D80" i="3" l="1"/>
  <c r="C81" i="3"/>
  <c r="D81" i="3" l="1"/>
  <c r="C82" i="3"/>
  <c r="C83" i="3" l="1"/>
  <c r="D82" i="3"/>
  <c r="C84" i="3" l="1"/>
  <c r="D83" i="3"/>
  <c r="D84" i="3" l="1"/>
  <c r="C85" i="3"/>
  <c r="D85" i="3" l="1"/>
  <c r="C86" i="3"/>
  <c r="C87" i="3" l="1"/>
  <c r="D87" i="3" s="1"/>
  <c r="D86" i="3"/>
</calcChain>
</file>

<file path=xl/comments1.xml><?xml version="1.0" encoding="utf-8"?>
<comments xmlns="http://schemas.openxmlformats.org/spreadsheetml/2006/main">
  <authors>
    <author>Martine</author>
  </authors>
  <commentList>
    <comment ref="B8" authorId="0" shapeId="0">
      <text>
        <r>
          <rPr>
            <b/>
            <sz val="9"/>
            <color indexed="81"/>
            <rFont val="Tahoma"/>
            <family val="2"/>
          </rPr>
          <t xml:space="preserve">Structural steel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Taken from inputdata defined in example in Flexcom
</t>
        </r>
      </text>
    </comment>
    <comment ref="Q11" authorId="0" shapeId="0">
      <text>
        <r>
          <rPr>
            <b/>
            <sz val="9"/>
            <color indexed="81"/>
            <rFont val="Tahoma"/>
            <charset val="1"/>
          </rPr>
          <t xml:space="preserve">Buoyancy av den ytterste diameteren
</t>
        </r>
      </text>
    </comment>
    <comment ref="Q12" authorId="0" shapeId="0">
      <text>
        <r>
          <rPr>
            <b/>
            <sz val="9"/>
            <color indexed="81"/>
            <rFont val="Tahoma"/>
            <charset val="1"/>
          </rPr>
          <t>Assuming continious buoyancy modules</t>
        </r>
      </text>
    </comment>
    <comment ref="R12" authorId="0" shapeId="0">
      <text>
        <r>
          <rPr>
            <b/>
            <sz val="9"/>
            <color indexed="81"/>
            <rFont val="Tahoma"/>
            <family val="2"/>
          </rPr>
          <t xml:space="preserve">For steel pipe
</t>
        </r>
      </text>
    </comment>
    <comment ref="S12" authorId="0" shapeId="0">
      <text>
        <r>
          <rPr>
            <b/>
            <sz val="9"/>
            <color indexed="81"/>
            <rFont val="Tahoma"/>
            <family val="2"/>
          </rPr>
          <t>Steel pipe cross-section</t>
        </r>
      </text>
    </comment>
    <comment ref="T12" authorId="0" shapeId="0">
      <text>
        <r>
          <rPr>
            <b/>
            <sz val="9"/>
            <color indexed="81"/>
            <rFont val="Tahoma"/>
            <family val="2"/>
          </rPr>
          <t>Steel pipe cross-section</t>
        </r>
      </text>
    </comment>
    <comment ref="U12" authorId="0" shapeId="0">
      <text>
        <r>
          <rPr>
            <b/>
            <sz val="9"/>
            <color indexed="81"/>
            <rFont val="Tahoma"/>
            <family val="2"/>
          </rPr>
          <t>Steel pipe cross-section</t>
        </r>
      </text>
    </comment>
    <comment ref="V12" authorId="0" shapeId="0">
      <text>
        <r>
          <rPr>
            <b/>
            <sz val="9"/>
            <color indexed="81"/>
            <rFont val="Tahoma"/>
            <family val="2"/>
          </rPr>
          <t xml:space="preserve">Mass for entire steel pipe and  buoancy modules
 </t>
        </r>
      </text>
    </comment>
    <comment ref="A13" authorId="0" shapeId="0">
      <text>
        <r>
          <rPr>
            <b/>
            <sz val="9"/>
            <color indexed="81"/>
            <rFont val="Tahoma"/>
            <charset val="1"/>
          </rPr>
          <t>Only contributes to the weight of the steel</t>
        </r>
      </text>
    </comment>
    <comment ref="Q13" authorId="0" shapeId="0">
      <text>
        <r>
          <rPr>
            <b/>
            <sz val="9"/>
            <color indexed="81"/>
            <rFont val="Tahoma"/>
            <family val="2"/>
          </rPr>
          <t xml:space="preserve">No contribution to buoyancy because volum remains the same
</t>
        </r>
      </text>
    </comment>
    <comment ref="Q15" authorId="0" shapeId="0">
      <text>
        <r>
          <rPr>
            <b/>
            <sz val="9"/>
            <color indexed="81"/>
            <rFont val="Tahoma"/>
            <family val="2"/>
          </rPr>
          <t xml:space="preserve">No contribution to buoyancy change
</t>
        </r>
      </text>
    </comment>
    <comment ref="K19" authorId="0" shapeId="0">
      <text>
        <r>
          <rPr>
            <b/>
            <sz val="9"/>
            <color indexed="81"/>
            <rFont val="Tahoma"/>
            <family val="2"/>
          </rPr>
          <t xml:space="preserve">No foam
</t>
        </r>
      </text>
    </comment>
    <comment ref="Q19" authorId="0" shapeId="0">
      <text>
        <r>
          <rPr>
            <b/>
            <sz val="9"/>
            <color indexed="81"/>
            <rFont val="Tahoma"/>
            <family val="2"/>
          </rPr>
          <t xml:space="preserve">No buoyancy, not submerged
</t>
        </r>
      </text>
    </comment>
    <comment ref="J26" authorId="0" shapeId="0">
      <text>
        <r>
          <rPr>
            <b/>
            <sz val="9"/>
            <color indexed="81"/>
            <rFont val="Tahoma"/>
            <charset val="1"/>
          </rPr>
          <t>Martine:</t>
        </r>
        <r>
          <rPr>
            <sz val="9"/>
            <color indexed="81"/>
            <rFont val="Tahoma"/>
            <charset val="1"/>
          </rPr>
          <t xml:space="preserve">
Foam weight for 37.4 joints+1 joint</t>
        </r>
      </text>
    </comment>
    <comment ref="N26" authorId="0" shapeId="0">
      <text>
        <r>
          <rPr>
            <b/>
            <sz val="9"/>
            <color indexed="81"/>
            <rFont val="Tahoma"/>
            <charset val="1"/>
          </rPr>
          <t>Martine:</t>
        </r>
        <r>
          <rPr>
            <sz val="9"/>
            <color indexed="81"/>
            <rFont val="Tahoma"/>
            <charset val="1"/>
          </rPr>
          <t xml:space="preserve">
Weight of steel and fluid for 37,4 joints+1 joint</t>
        </r>
      </text>
    </comment>
    <comment ref="P26" authorId="0" shapeId="0">
      <text>
        <r>
          <rPr>
            <b/>
            <sz val="9"/>
            <color indexed="81"/>
            <rFont val="Tahoma"/>
            <charset val="1"/>
          </rPr>
          <t>Martine:</t>
        </r>
        <r>
          <rPr>
            <sz val="9"/>
            <color indexed="81"/>
            <rFont val="Tahoma"/>
            <charset val="1"/>
          </rPr>
          <t xml:space="preserve">
Tester ut med antall joints, ender opp med 37.4 joints +1 joint</t>
        </r>
      </text>
    </comment>
    <comment ref="E29" authorId="0" shapeId="0">
      <text>
        <r>
          <rPr>
            <b/>
            <sz val="9"/>
            <color indexed="81"/>
            <rFont val="Tahoma"/>
            <charset val="1"/>
          </rPr>
          <t xml:space="preserve">430 Tonnes gives no tension at bottom (x=0)
</t>
        </r>
      </text>
    </comment>
    <comment ref="G29" authorId="0" shapeId="0">
      <text>
        <r>
          <rPr>
            <b/>
            <sz val="9"/>
            <color indexed="81"/>
            <rFont val="Tahoma"/>
            <charset val="1"/>
          </rPr>
          <t>Martine:</t>
        </r>
        <r>
          <rPr>
            <sz val="9"/>
            <color indexed="81"/>
            <rFont val="Tahoma"/>
            <charset val="1"/>
          </rPr>
          <t xml:space="preserve">
Total upward force, buoyancy and top tension</t>
        </r>
      </text>
    </comment>
    <comment ref="G32" authorId="0" shapeId="0">
      <text>
        <r>
          <rPr>
            <b/>
            <sz val="9"/>
            <color indexed="81"/>
            <rFont val="Tahoma"/>
            <charset val="1"/>
          </rPr>
          <t>Martine:</t>
        </r>
        <r>
          <rPr>
            <sz val="9"/>
            <color indexed="81"/>
            <rFont val="Tahoma"/>
            <charset val="1"/>
          </rPr>
          <t xml:space="preserve">
Total weight of buoyancy modules+riser+lines+connections</t>
        </r>
      </text>
    </comment>
    <comment ref="G34" authorId="0" shapeId="0">
      <text>
        <r>
          <rPr>
            <sz val="9"/>
            <color indexed="81"/>
            <rFont val="Tahoma"/>
            <family val="2"/>
          </rPr>
          <t>Approx. 0
for crossing a 38,4 joints</t>
        </r>
      </text>
    </comment>
  </commentList>
</comments>
</file>

<file path=xl/comments2.xml><?xml version="1.0" encoding="utf-8"?>
<comments xmlns="http://schemas.openxmlformats.org/spreadsheetml/2006/main">
  <authors>
    <author>Martine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Defined from sea bed, not interested in well below sea bed</t>
        </r>
      </text>
    </comment>
  </commentList>
</comments>
</file>

<file path=xl/sharedStrings.xml><?xml version="1.0" encoding="utf-8"?>
<sst xmlns="http://schemas.openxmlformats.org/spreadsheetml/2006/main" count="104" uniqueCount="88">
  <si>
    <t xml:space="preserve">Buoyant </t>
  </si>
  <si>
    <t>t_steel [mm]</t>
  </si>
  <si>
    <t>to_foam [mm]</t>
  </si>
  <si>
    <t>Do_steel [m]</t>
  </si>
  <si>
    <t>Length [m]</t>
  </si>
  <si>
    <t>Density  steel</t>
  </si>
  <si>
    <t>[kg/m^3]</t>
  </si>
  <si>
    <t>Mass steel [kg]</t>
  </si>
  <si>
    <t>Water based content</t>
  </si>
  <si>
    <t>Salt water</t>
  </si>
  <si>
    <t>Buoyancy [kg]</t>
  </si>
  <si>
    <t>7 m not submerged</t>
  </si>
  <si>
    <t>16 m submerged</t>
  </si>
  <si>
    <t>I [m^4]</t>
  </si>
  <si>
    <t>Well (inf. stiff)</t>
  </si>
  <si>
    <t>BOP (inf. stiff)</t>
  </si>
  <si>
    <t>LMRP (inf. stiff)</t>
  </si>
  <si>
    <t>Di_fluid [mm]</t>
  </si>
  <si>
    <t>E-modulus</t>
  </si>
  <si>
    <t>[N/m^2]</t>
  </si>
  <si>
    <t>A foam [m^2]</t>
  </si>
  <si>
    <t>A fluid [m^2]</t>
  </si>
  <si>
    <t>A steel [m^2]</t>
  </si>
  <si>
    <t>Doo(foam) [mm]</t>
  </si>
  <si>
    <t xml:space="preserve">Density foam </t>
  </si>
  <si>
    <t>Foam [kg]</t>
  </si>
  <si>
    <t>G-modulus</t>
  </si>
  <si>
    <t>Lines</t>
  </si>
  <si>
    <t>Total for 1 joint</t>
  </si>
  <si>
    <t>Total for all joints</t>
  </si>
  <si>
    <t>Bending stiffness EI [Nm^2]</t>
  </si>
  <si>
    <t>Torsional stiffness GJ [Nm^2/rad]</t>
  </si>
  <si>
    <t>Axial stiffness EA [N]</t>
  </si>
  <si>
    <t>Mass/unit length [kg/m]</t>
  </si>
  <si>
    <t>LFJ</t>
  </si>
  <si>
    <t>Number of joints</t>
  </si>
  <si>
    <t>Fully submerged</t>
  </si>
  <si>
    <t>Partly submerged</t>
  </si>
  <si>
    <t>Partly submerged joint</t>
  </si>
  <si>
    <t>Connection on one side of joint</t>
  </si>
  <si>
    <t xml:space="preserve"> Oil based content</t>
  </si>
  <si>
    <t>Mass content (Water based) [kg]</t>
  </si>
  <si>
    <t>Mass content (Oil based) [kg]</t>
  </si>
  <si>
    <t>Total</t>
  </si>
  <si>
    <t>Check</t>
  </si>
  <si>
    <t xml:space="preserve">Total Buoyancy </t>
  </si>
  <si>
    <t>Mass of steel and fluid (Water based) [kg]</t>
  </si>
  <si>
    <t>Mass of steel and fluid (Oil based) [kg]</t>
  </si>
  <si>
    <t>Applied tension</t>
  </si>
  <si>
    <t>[kg]</t>
  </si>
  <si>
    <t>Total weight (oil based)</t>
  </si>
  <si>
    <t>Total weight (water based)</t>
  </si>
  <si>
    <r>
      <t>Total</t>
    </r>
    <r>
      <rPr>
        <i/>
        <sz val="11"/>
        <color rgb="FFFF0000"/>
        <rFont val="Calibri"/>
        <family val="2"/>
        <scheme val="minor"/>
      </rPr>
      <t xml:space="preserve"> upward</t>
    </r>
    <r>
      <rPr>
        <i/>
        <sz val="11"/>
        <color rgb="FF7F7F7F"/>
        <rFont val="Calibri"/>
        <family val="2"/>
        <scheme val="minor"/>
      </rPr>
      <t xml:space="preserve"> force</t>
    </r>
  </si>
  <si>
    <t>Equivalent length</t>
  </si>
  <si>
    <t>Euler buckling load</t>
  </si>
  <si>
    <t>Euler average buckling load</t>
  </si>
  <si>
    <t>N</t>
  </si>
  <si>
    <t>Difference</t>
  </si>
  <si>
    <t>Location of connections</t>
  </si>
  <si>
    <t>Length</t>
  </si>
  <si>
    <t>From top</t>
  </si>
  <si>
    <t>From bottom</t>
  </si>
  <si>
    <t>[kg] (Worst case)</t>
  </si>
  <si>
    <t>Joints</t>
  </si>
  <si>
    <t>Required</t>
  </si>
  <si>
    <t>m (flexj-cros)</t>
  </si>
  <si>
    <t>1st try</t>
  </si>
  <si>
    <t>2nd try</t>
  </si>
  <si>
    <t>N/A</t>
  </si>
  <si>
    <t>N applied at top</t>
  </si>
  <si>
    <t>N at well node</t>
  </si>
  <si>
    <t>Tonnes w/no bottom tension</t>
  </si>
  <si>
    <t>Tonnes at LFJ</t>
  </si>
  <si>
    <t>Telescopic</t>
  </si>
  <si>
    <t>kN</t>
  </si>
  <si>
    <t>Riser and lines 10% of length</t>
  </si>
  <si>
    <t>Total length</t>
  </si>
  <si>
    <t>Seabed to WL</t>
  </si>
  <si>
    <t>Joint length</t>
  </si>
  <si>
    <t xml:space="preserve">WL to top </t>
  </si>
  <si>
    <t>Remaning  length for joint</t>
  </si>
  <si>
    <t>Number of joints not submerged</t>
  </si>
  <si>
    <t>Number of joints submerged</t>
  </si>
  <si>
    <t>Length submerged</t>
  </si>
  <si>
    <t>Length not submerged</t>
  </si>
  <si>
    <t>Buoyant joint length</t>
  </si>
  <si>
    <t>Total number of joints on buoyant joint</t>
  </si>
  <si>
    <t xml:space="preserve">Iteration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</si>
</sst>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"/>
    <numFmt numFmtId="166" formatCode="0.0000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9"/>
      <color indexed="81"/>
      <name val="Tahoma"/>
      <family val="2"/>
    </font>
    <font>
      <b/>
      <i/>
      <sz val="11"/>
      <color rgb="FF7F7F7F"/>
      <name val="Calibri"/>
      <family val="2"/>
      <scheme val="minor"/>
    </font>
    <font>
      <b/>
      <sz val="9"/>
      <color indexed="81"/>
      <name val="Tahoma"/>
      <charset val="1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9C6500"/>
      <name val="Calibri"/>
      <family val="2"/>
      <scheme val="minor"/>
    </font>
    <font>
      <sz val="9"/>
      <color indexed="81"/>
      <name val="Tahoma"/>
      <charset val="1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10" fillId="3" borderId="0" applyNumberFormat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Font="1"/>
    <xf numFmtId="0" fontId="3" fillId="0" borderId="0" xfId="1"/>
    <xf numFmtId="0" fontId="5" fillId="0" borderId="0" xfId="1" applyFont="1"/>
    <xf numFmtId="0" fontId="3" fillId="0" borderId="0" xfId="1" applyFont="1"/>
    <xf numFmtId="0" fontId="0" fillId="0" borderId="0" xfId="0" applyBorder="1"/>
    <xf numFmtId="0" fontId="0" fillId="0" borderId="0" xfId="0" applyAlignment="1"/>
    <xf numFmtId="0" fontId="3" fillId="0" borderId="0" xfId="1" applyAlignment="1">
      <alignment wrapText="1"/>
    </xf>
    <xf numFmtId="0" fontId="3" fillId="0" borderId="0" xfId="1" applyAlignment="1"/>
    <xf numFmtId="0" fontId="1" fillId="0" borderId="0" xfId="0" applyFont="1" applyAlignment="1"/>
    <xf numFmtId="0" fontId="0" fillId="2" borderId="0" xfId="0" applyFill="1"/>
    <xf numFmtId="0" fontId="0" fillId="2" borderId="0" xfId="0" applyFill="1" applyAlignment="1"/>
    <xf numFmtId="0" fontId="0" fillId="2" borderId="0" xfId="0" applyFont="1" applyFill="1"/>
    <xf numFmtId="0" fontId="0" fillId="0" borderId="0" xfId="0" applyFill="1"/>
    <xf numFmtId="0" fontId="1" fillId="0" borderId="0" xfId="0" applyFont="1" applyFill="1"/>
    <xf numFmtId="0" fontId="5" fillId="2" borderId="0" xfId="1" applyFont="1" applyFill="1"/>
    <xf numFmtId="0" fontId="1" fillId="2" borderId="0" xfId="0" applyFont="1" applyFill="1"/>
    <xf numFmtId="0" fontId="3" fillId="2" borderId="0" xfId="1" applyFont="1" applyFill="1"/>
    <xf numFmtId="0" fontId="0" fillId="2" borderId="0" xfId="0" applyFont="1" applyFill="1" applyAlignment="1"/>
    <xf numFmtId="0" fontId="1" fillId="2" borderId="0" xfId="0" applyFont="1" applyFill="1" applyAlignment="1"/>
    <xf numFmtId="0" fontId="1" fillId="0" borderId="0" xfId="0" applyFont="1" applyFill="1" applyAlignment="1"/>
    <xf numFmtId="0" fontId="0" fillId="0" borderId="0" xfId="0" applyFill="1" applyAlignment="1"/>
    <xf numFmtId="1" fontId="1" fillId="2" borderId="0" xfId="0" applyNumberFormat="1" applyFont="1" applyFill="1"/>
    <xf numFmtId="166" fontId="1" fillId="0" borderId="0" xfId="0" applyNumberFormat="1" applyFont="1" applyAlignment="1"/>
    <xf numFmtId="164" fontId="0" fillId="0" borderId="0" xfId="0" applyNumberFormat="1"/>
    <xf numFmtId="1" fontId="0" fillId="0" borderId="0" xfId="0" applyNumberFormat="1"/>
    <xf numFmtId="1" fontId="1" fillId="0" borderId="0" xfId="0" applyNumberFormat="1" applyFont="1"/>
    <xf numFmtId="1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1" fontId="0" fillId="0" borderId="0" xfId="0" applyNumberFormat="1" applyFont="1"/>
    <xf numFmtId="1" fontId="0" fillId="0" borderId="0" xfId="0" applyNumberFormat="1" applyAlignment="1"/>
    <xf numFmtId="165" fontId="0" fillId="0" borderId="0" xfId="0" applyNumberFormat="1" applyFill="1"/>
    <xf numFmtId="0" fontId="10" fillId="3" borderId="0" xfId="2"/>
    <xf numFmtId="0" fontId="5" fillId="0" borderId="0" xfId="1" applyFont="1" applyFill="1"/>
    <xf numFmtId="0" fontId="10" fillId="3" borderId="0" xfId="2" applyAlignment="1"/>
    <xf numFmtId="1" fontId="10" fillId="3" borderId="0" xfId="2" applyNumberFormat="1" applyAlignment="1"/>
    <xf numFmtId="1" fontId="10" fillId="3" borderId="0" xfId="2" applyNumberFormat="1"/>
    <xf numFmtId="164" fontId="10" fillId="3" borderId="0" xfId="2" applyNumberFormat="1"/>
    <xf numFmtId="0" fontId="11" fillId="0" borderId="0" xfId="1" applyFont="1" applyAlignment="1">
      <alignment horizontal="right"/>
    </xf>
    <xf numFmtId="1" fontId="3" fillId="0" borderId="0" xfId="1" applyNumberFormat="1"/>
    <xf numFmtId="0" fontId="12" fillId="3" borderId="0" xfId="2" applyFont="1" applyAlignment="1"/>
    <xf numFmtId="0" fontId="12" fillId="3" borderId="0" xfId="2" applyFont="1" applyAlignment="1">
      <alignment wrapText="1"/>
    </xf>
    <xf numFmtId="0" fontId="3" fillId="0" borderId="0" xfId="1" applyBorder="1"/>
    <xf numFmtId="0" fontId="11" fillId="0" borderId="0" xfId="0" applyFont="1" applyFill="1" applyBorder="1" applyAlignment="1"/>
    <xf numFmtId="0" fontId="0" fillId="0" borderId="0" xfId="0" applyBorder="1" applyAlignment="1"/>
    <xf numFmtId="1" fontId="0" fillId="0" borderId="0" xfId="0" applyNumberFormat="1" applyBorder="1" applyAlignment="1"/>
    <xf numFmtId="0" fontId="7" fillId="0" borderId="0" xfId="0" applyFont="1" applyBorder="1"/>
    <xf numFmtId="1" fontId="7" fillId="0" borderId="0" xfId="0" applyNumberFormat="1" applyFont="1" applyBorder="1" applyAlignment="1"/>
    <xf numFmtId="1" fontId="0" fillId="0" borderId="0" xfId="0" applyNumberFormat="1" applyBorder="1"/>
    <xf numFmtId="1" fontId="9" fillId="0" borderId="0" xfId="0" applyNumberFormat="1" applyFont="1" applyBorder="1"/>
    <xf numFmtId="0" fontId="0" fillId="0" borderId="0" xfId="0" applyFill="1" applyBorder="1" applyAlignment="1"/>
    <xf numFmtId="0" fontId="3" fillId="0" borderId="0" xfId="1" applyFill="1" applyBorder="1" applyAlignment="1"/>
    <xf numFmtId="0" fontId="3" fillId="0" borderId="0" xfId="1" applyBorder="1" applyAlignment="1"/>
    <xf numFmtId="0" fontId="3" fillId="0" borderId="0" xfId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7" fillId="0" borderId="0" xfId="0" applyFont="1" applyBorder="1" applyAlignment="1"/>
    <xf numFmtId="164" fontId="0" fillId="0" borderId="0" xfId="0" applyNumberFormat="1" applyBorder="1"/>
    <xf numFmtId="0" fontId="3" fillId="0" borderId="0" xfId="1" applyAlignment="1">
      <alignment horizontal="center"/>
    </xf>
    <xf numFmtId="164" fontId="11" fillId="0" borderId="0" xfId="1" applyNumberFormat="1" applyFont="1"/>
    <xf numFmtId="0" fontId="0" fillId="0" borderId="0" xfId="0" applyAlignment="1">
      <alignment wrapText="1"/>
    </xf>
    <xf numFmtId="164" fontId="0" fillId="0" borderId="0" xfId="0" applyNumberFormat="1" applyFont="1" applyFill="1"/>
    <xf numFmtId="164" fontId="0" fillId="0" borderId="0" xfId="0" applyNumberFormat="1" applyFill="1" applyAlignment="1"/>
    <xf numFmtId="0" fontId="1" fillId="0" borderId="0" xfId="0" applyFont="1" applyFill="1" applyBorder="1" applyAlignment="1">
      <alignment horizontal="center"/>
    </xf>
    <xf numFmtId="0" fontId="12" fillId="0" borderId="0" xfId="2" applyFont="1" applyFill="1" applyAlignment="1"/>
    <xf numFmtId="0" fontId="10" fillId="0" borderId="0" xfId="2" applyFill="1"/>
    <xf numFmtId="0" fontId="10" fillId="0" borderId="0" xfId="2" applyFill="1" applyAlignment="1"/>
    <xf numFmtId="1" fontId="10" fillId="0" borderId="0" xfId="2" applyNumberFormat="1" applyFill="1"/>
    <xf numFmtId="1" fontId="0" fillId="2" borderId="0" xfId="0" applyNumberFormat="1" applyFont="1" applyFill="1" applyAlignment="1"/>
  </cellXfs>
  <cellStyles count="3">
    <cellStyle name="Forklarende tekst" xfId="1" builtinId="53"/>
    <cellStyle name="Normal" xfId="0" builtinId="0"/>
    <cellStyle name="Nøytral" xfId="2" builtin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4"/>
  <sheetViews>
    <sheetView tabSelected="1" workbookViewId="0">
      <selection activeCell="A11" sqref="A11"/>
    </sheetView>
  </sheetViews>
  <sheetFormatPr baseColWidth="10" defaultRowHeight="14.4" x14ac:dyDescent="0.3"/>
  <cols>
    <col min="1" max="1" width="35.44140625" customWidth="1"/>
    <col min="2" max="2" width="10.6640625" customWidth="1"/>
    <col min="3" max="3" width="9.77734375" customWidth="1"/>
    <col min="4" max="4" width="8.21875" customWidth="1"/>
    <col min="5" max="5" width="8.109375" customWidth="1"/>
    <col min="6" max="6" width="9.88671875" customWidth="1"/>
    <col min="7" max="7" width="11.5546875" customWidth="1"/>
    <col min="8" max="8" width="7.88671875" customWidth="1"/>
    <col min="9" max="10" width="9.44140625" customWidth="1"/>
    <col min="11" max="11" width="8.109375" customWidth="1"/>
    <col min="12" max="12" width="12.21875" customWidth="1"/>
    <col min="13" max="13" width="13" customWidth="1"/>
    <col min="14" max="14" width="13.6640625" customWidth="1"/>
    <col min="15" max="15" width="15.109375" customWidth="1"/>
    <col min="16" max="16" width="14.33203125" customWidth="1"/>
    <col min="17" max="17" width="11" customWidth="1"/>
    <col min="18" max="18" width="11.33203125" customWidth="1"/>
    <col min="19" max="19" width="12.88671875" customWidth="1"/>
  </cols>
  <sheetData>
    <row r="1" spans="1:23" x14ac:dyDescent="0.3">
      <c r="A1" s="4" t="s">
        <v>35</v>
      </c>
      <c r="B1">
        <f>(2007-'Ark2'!B2-'Ark2'!B3-'Ark2'!B4-'Ark2'!B5)/J12</f>
        <v>86</v>
      </c>
    </row>
    <row r="2" spans="1:23" x14ac:dyDescent="0.3">
      <c r="A2" s="4"/>
      <c r="B2">
        <v>85</v>
      </c>
      <c r="C2" s="10" t="s">
        <v>36</v>
      </c>
    </row>
    <row r="3" spans="1:23" x14ac:dyDescent="0.3">
      <c r="A3" s="4"/>
      <c r="B3">
        <v>1</v>
      </c>
      <c r="C3" s="4" t="s">
        <v>37</v>
      </c>
    </row>
    <row r="4" spans="1:23" x14ac:dyDescent="0.3">
      <c r="A4" s="4" t="s">
        <v>5</v>
      </c>
      <c r="B4">
        <v>7850</v>
      </c>
      <c r="C4" s="4" t="s">
        <v>6</v>
      </c>
    </row>
    <row r="5" spans="1:23" x14ac:dyDescent="0.3">
      <c r="A5" s="4" t="s">
        <v>8</v>
      </c>
      <c r="B5">
        <v>1250</v>
      </c>
      <c r="C5" s="4" t="s">
        <v>6</v>
      </c>
    </row>
    <row r="6" spans="1:23" x14ac:dyDescent="0.3">
      <c r="A6" s="4" t="s">
        <v>40</v>
      </c>
      <c r="B6">
        <v>980</v>
      </c>
      <c r="C6" s="4" t="s">
        <v>6</v>
      </c>
    </row>
    <row r="7" spans="1:23" x14ac:dyDescent="0.3">
      <c r="A7" s="4" t="s">
        <v>9</v>
      </c>
      <c r="B7">
        <v>1025</v>
      </c>
      <c r="C7" s="4" t="s">
        <v>6</v>
      </c>
    </row>
    <row r="8" spans="1:23" x14ac:dyDescent="0.3">
      <c r="A8" s="4" t="s">
        <v>26</v>
      </c>
      <c r="B8">
        <f>79.3*10^9</f>
        <v>79300000000</v>
      </c>
      <c r="C8" s="4" t="s">
        <v>19</v>
      </c>
    </row>
    <row r="9" spans="1:23" x14ac:dyDescent="0.3">
      <c r="A9" s="4" t="s">
        <v>18</v>
      </c>
      <c r="B9">
        <v>210000000000</v>
      </c>
      <c r="C9" s="4" t="s">
        <v>19</v>
      </c>
    </row>
    <row r="10" spans="1:23" x14ac:dyDescent="0.3">
      <c r="A10" s="4" t="s">
        <v>24</v>
      </c>
      <c r="B10">
        <v>800</v>
      </c>
      <c r="C10" s="4" t="s">
        <v>6</v>
      </c>
    </row>
    <row r="11" spans="1:23" ht="47.4" customHeight="1" x14ac:dyDescent="0.3">
      <c r="B11" s="9" t="s">
        <v>3</v>
      </c>
      <c r="C11" s="9" t="s">
        <v>1</v>
      </c>
      <c r="D11" s="9" t="s">
        <v>17</v>
      </c>
      <c r="E11" s="9" t="s">
        <v>2</v>
      </c>
      <c r="F11" s="9" t="s">
        <v>23</v>
      </c>
      <c r="G11" s="9" t="s">
        <v>20</v>
      </c>
      <c r="H11" s="9" t="s">
        <v>21</v>
      </c>
      <c r="I11" s="9" t="s">
        <v>22</v>
      </c>
      <c r="J11" s="9" t="s">
        <v>4</v>
      </c>
      <c r="K11" s="9" t="s">
        <v>25</v>
      </c>
      <c r="L11" s="9" t="s">
        <v>7</v>
      </c>
      <c r="M11" s="9" t="s">
        <v>41</v>
      </c>
      <c r="N11" s="9" t="s">
        <v>42</v>
      </c>
      <c r="O11" s="9" t="s">
        <v>46</v>
      </c>
      <c r="P11" s="9" t="s">
        <v>47</v>
      </c>
      <c r="Q11" s="9" t="s">
        <v>10</v>
      </c>
      <c r="R11" s="9" t="s">
        <v>13</v>
      </c>
      <c r="S11" s="9" t="s">
        <v>30</v>
      </c>
      <c r="T11" s="9" t="s">
        <v>31</v>
      </c>
      <c r="U11" s="9" t="s">
        <v>32</v>
      </c>
      <c r="V11" s="9" t="s">
        <v>33</v>
      </c>
    </row>
    <row r="12" spans="1:23" x14ac:dyDescent="0.3">
      <c r="A12" s="4" t="s">
        <v>0</v>
      </c>
      <c r="B12">
        <v>0.56000000000000005</v>
      </c>
      <c r="C12">
        <v>2.1999999999999999E-2</v>
      </c>
      <c r="D12">
        <f>B12-(2*C12)</f>
        <v>0.51600000000000001</v>
      </c>
      <c r="E12">
        <v>0.15</v>
      </c>
      <c r="F12">
        <f>B12+(2*E12)</f>
        <v>0.8600000000000001</v>
      </c>
      <c r="G12">
        <f>PI()*(F12^2-B12^2)/4</f>
        <v>0.33457961760731303</v>
      </c>
      <c r="H12">
        <f>PI()/4*D12^2</f>
        <v>0.20911697339355098</v>
      </c>
      <c r="I12">
        <f>PI()*(B12^2-D12^2)/4</f>
        <v>3.718389064788883E-2</v>
      </c>
      <c r="J12">
        <v>23</v>
      </c>
      <c r="K12" s="27">
        <f>B10*J12*G12</f>
        <v>6156.2649639745596</v>
      </c>
      <c r="L12" s="26">
        <f>$B$4*J12*I12</f>
        <v>6713.551456476328</v>
      </c>
      <c r="M12" s="28">
        <f>$B$5*J12*$H$12</f>
        <v>6012.1129850645912</v>
      </c>
      <c r="N12" s="28">
        <f>$B$6*J12*$H$12</f>
        <v>4713.496580290639</v>
      </c>
      <c r="Q12" s="28">
        <f>($F$12/2)^2*PI()*$J$12*$B$7</f>
        <v>13694.257354869349</v>
      </c>
      <c r="R12" s="33">
        <f>PI()/64*(B12^4-D12^4)</f>
        <v>1.3475813809701392E-3</v>
      </c>
      <c r="S12" s="27">
        <f>B9*R12</f>
        <v>282992090.00372922</v>
      </c>
      <c r="T12" s="27">
        <f>(B8*R12)/(2*PI())</f>
        <v>17007807.073400017</v>
      </c>
      <c r="U12">
        <f>PI()/4*(B12^2-D12^2)*B9</f>
        <v>7808617036.056654</v>
      </c>
      <c r="V12" s="27">
        <f>(L24+K24)/J24</f>
        <v>612.87917087967639</v>
      </c>
      <c r="W12" s="27"/>
    </row>
    <row r="13" spans="1:23" x14ac:dyDescent="0.3">
      <c r="A13" s="4" t="s">
        <v>27</v>
      </c>
      <c r="L13" s="26">
        <f>L12*0.18</f>
        <v>1208.4392621657389</v>
      </c>
      <c r="Q13" s="7"/>
    </row>
    <row r="14" spans="1:23" x14ac:dyDescent="0.3">
      <c r="A14" s="4" t="s">
        <v>75</v>
      </c>
      <c r="I14" s="63"/>
      <c r="J14">
        <v>2.2999999999999998</v>
      </c>
      <c r="L14" s="26">
        <f>$B$4*J14*I12*1.18</f>
        <v>792.19907186420676</v>
      </c>
      <c r="Q14" s="7"/>
    </row>
    <row r="15" spans="1:23" x14ac:dyDescent="0.3">
      <c r="A15" s="6" t="s">
        <v>39</v>
      </c>
      <c r="B15" s="8"/>
      <c r="C15" s="8"/>
      <c r="D15" s="8"/>
      <c r="E15" s="8"/>
      <c r="F15" s="8"/>
      <c r="G15" s="8"/>
      <c r="H15" s="27"/>
      <c r="I15" s="62"/>
      <c r="L15" s="26">
        <f>L14*0.05</f>
        <v>39.609953593210342</v>
      </c>
      <c r="Q15" s="3"/>
    </row>
    <row r="16" spans="1:23" s="14" customFormat="1" x14ac:dyDescent="0.3">
      <c r="A16" s="19" t="s">
        <v>28</v>
      </c>
      <c r="B16" s="20"/>
      <c r="C16" s="20"/>
      <c r="D16" s="20"/>
      <c r="E16" s="20"/>
      <c r="F16" s="20"/>
      <c r="G16" s="20"/>
      <c r="H16" s="20"/>
      <c r="I16" s="69"/>
      <c r="L16" s="24">
        <f>L15+L13+L12</f>
        <v>7961.6006722352777</v>
      </c>
      <c r="O16" s="24">
        <f>L16+M12</f>
        <v>13973.713657299868</v>
      </c>
      <c r="P16" s="24">
        <f>L16+N12</f>
        <v>12675.097252525917</v>
      </c>
    </row>
    <row r="17" spans="1:18" x14ac:dyDescent="0.3">
      <c r="A17" s="5"/>
      <c r="B17" s="8"/>
      <c r="C17" s="8"/>
      <c r="D17" s="8"/>
      <c r="E17" s="8"/>
      <c r="F17" s="8"/>
      <c r="G17" s="8"/>
      <c r="H17" s="8"/>
      <c r="I17" s="27"/>
      <c r="J17" s="15"/>
      <c r="L17" s="16"/>
      <c r="O17" s="28"/>
      <c r="P17" s="28"/>
      <c r="Q17" s="3"/>
    </row>
    <row r="18" spans="1:18" x14ac:dyDescent="0.3">
      <c r="A18" s="5" t="s">
        <v>38</v>
      </c>
      <c r="B18" s="8"/>
      <c r="C18" s="8"/>
      <c r="D18" s="8"/>
      <c r="E18" s="8"/>
      <c r="F18" s="8"/>
      <c r="G18" s="8"/>
      <c r="H18" s="8"/>
      <c r="J18" s="8"/>
      <c r="K18" s="8"/>
      <c r="L18" s="8"/>
      <c r="M18" s="8"/>
      <c r="N18" s="8"/>
      <c r="O18" s="32"/>
      <c r="P18" s="32"/>
      <c r="Q18" s="8"/>
      <c r="R18" s="8"/>
    </row>
    <row r="19" spans="1:18" x14ac:dyDescent="0.3">
      <c r="A19" s="4" t="s">
        <v>11</v>
      </c>
      <c r="B19" s="11"/>
      <c r="C19" s="11"/>
      <c r="D19" s="11"/>
      <c r="E19" s="11"/>
      <c r="F19" s="11"/>
      <c r="G19" s="11"/>
      <c r="H19" s="11"/>
      <c r="I19" s="32"/>
      <c r="J19">
        <v>7</v>
      </c>
      <c r="L19" s="27">
        <f>(I12*J19*B4)*1.18</f>
        <v>2411.0406534997592</v>
      </c>
      <c r="M19" s="31">
        <f>$B$5*J19*$H$12</f>
        <v>1829.773517193571</v>
      </c>
      <c r="N19" s="31">
        <f>$B$6*J19*$H$12</f>
        <v>1434.5424374797597</v>
      </c>
      <c r="O19" s="27">
        <f>L19+M19</f>
        <v>4240.8141706933302</v>
      </c>
      <c r="P19" s="27">
        <f>L19+N19</f>
        <v>3845.5830909795186</v>
      </c>
      <c r="Q19" s="4"/>
    </row>
    <row r="20" spans="1:18" s="8" customFormat="1" x14ac:dyDescent="0.3">
      <c r="A20" s="4" t="s">
        <v>12</v>
      </c>
      <c r="B20" s="11"/>
      <c r="C20" s="11"/>
      <c r="D20" s="11"/>
      <c r="E20" s="11"/>
      <c r="F20" s="11"/>
      <c r="G20" s="11"/>
      <c r="H20" s="25"/>
      <c r="I20" s="11"/>
      <c r="J20">
        <v>16</v>
      </c>
      <c r="K20" s="27">
        <f>J20*B10*G12</f>
        <v>4282.6191053736065</v>
      </c>
      <c r="L20" s="27">
        <f>(J20*I12*B4)*1.18+L15</f>
        <v>5550.5600187355185</v>
      </c>
      <c r="M20" s="31">
        <f>$B$5*J20*$H$12</f>
        <v>4182.3394678710192</v>
      </c>
      <c r="N20" s="31">
        <f>$B$6*J20*$H$12</f>
        <v>3278.9541428108796</v>
      </c>
      <c r="O20" s="27">
        <f>L20+M20</f>
        <v>9732.8994866065368</v>
      </c>
      <c r="P20" s="27">
        <f>L20+N20</f>
        <v>8829.5141615463981</v>
      </c>
      <c r="Q20" s="28">
        <f>PI()*(F12/2)^2*J20*$B$7</f>
        <v>9526.4398990395457</v>
      </c>
      <c r="R20"/>
    </row>
    <row r="21" spans="1:18" s="8" customFormat="1" x14ac:dyDescent="0.3">
      <c r="A21" s="4" t="s">
        <v>43</v>
      </c>
      <c r="B21" s="11"/>
      <c r="C21" s="11"/>
      <c r="D21" s="11"/>
      <c r="E21" s="11"/>
      <c r="F21" s="11"/>
      <c r="G21" s="11"/>
      <c r="H21" s="25"/>
      <c r="I21" s="11"/>
      <c r="J21"/>
      <c r="K21"/>
      <c r="L21" s="29">
        <f>L20+L19</f>
        <v>7961.6006722352777</v>
      </c>
      <c r="M21" s="29">
        <f>M20+M19</f>
        <v>6012.1129850645902</v>
      </c>
      <c r="N21" s="29">
        <f>N20+N19</f>
        <v>4713.496580290639</v>
      </c>
      <c r="O21" s="29">
        <f>O20+O19</f>
        <v>13973.713657299868</v>
      </c>
      <c r="P21" s="29">
        <f>P19+P20</f>
        <v>12675.097252525917</v>
      </c>
      <c r="Q21"/>
      <c r="R21"/>
    </row>
    <row r="22" spans="1:18" s="8" customFormat="1" x14ac:dyDescent="0.3">
      <c r="A22" s="4" t="s">
        <v>44</v>
      </c>
      <c r="B22" s="11"/>
      <c r="C22" s="11"/>
      <c r="D22" s="11"/>
      <c r="E22" s="11"/>
      <c r="F22" s="11"/>
      <c r="G22" s="11"/>
      <c r="H22" s="25"/>
      <c r="I22" s="11"/>
      <c r="J22"/>
      <c r="K22"/>
      <c r="L22" s="30" t="str">
        <f>IF(L16=L21,"Ok","Not ok")</f>
        <v>Ok</v>
      </c>
      <c r="M22" s="30" t="str">
        <f>IF(M12=M21,"Ok","Not ok")</f>
        <v>Ok</v>
      </c>
      <c r="N22" s="30" t="str">
        <f>IF(N12=N21,"Ok","Not ok")</f>
        <v>Ok</v>
      </c>
      <c r="O22" s="30" t="str">
        <f>IF(O16=O21,"Ok","Not ok")</f>
        <v>Ok</v>
      </c>
      <c r="P22" s="29" t="str">
        <f>IF(P16=P21,"Ok","Not ok")</f>
        <v>Ok</v>
      </c>
      <c r="Q22"/>
      <c r="R22"/>
    </row>
    <row r="23" spans="1:18" s="8" customFormat="1" x14ac:dyDescent="0.3">
      <c r="A23" s="4"/>
      <c r="B23" s="11"/>
      <c r="C23" s="11"/>
      <c r="D23" s="11"/>
      <c r="E23" s="11"/>
      <c r="F23" s="11"/>
      <c r="G23" s="11"/>
      <c r="H23" s="11"/>
      <c r="I23" s="11"/>
      <c r="J23"/>
      <c r="K23"/>
      <c r="L23"/>
      <c r="M23"/>
      <c r="N23"/>
      <c r="O23"/>
      <c r="P23"/>
      <c r="Q23" s="1"/>
      <c r="R23"/>
    </row>
    <row r="24" spans="1:18" s="13" customFormat="1" x14ac:dyDescent="0.3">
      <c r="A24" s="17" t="s">
        <v>29</v>
      </c>
      <c r="B24" s="21"/>
      <c r="C24" s="21"/>
      <c r="D24" s="21"/>
      <c r="E24" s="21"/>
      <c r="F24" s="21"/>
      <c r="G24" s="21"/>
      <c r="H24" s="21"/>
      <c r="I24" s="21"/>
      <c r="J24" s="14">
        <f>2007-29</f>
        <v>1978</v>
      </c>
      <c r="K24" s="18">
        <f>(6156*85)+4283</f>
        <v>527543</v>
      </c>
      <c r="L24" s="24">
        <f>7962*86</f>
        <v>684732</v>
      </c>
      <c r="M24" s="24">
        <f>6012*86</f>
        <v>517032</v>
      </c>
      <c r="N24" s="24">
        <f>4713*86</f>
        <v>405318</v>
      </c>
      <c r="O24" s="24">
        <f>13974*86</f>
        <v>1201764</v>
      </c>
      <c r="P24" s="24">
        <f>12675*86</f>
        <v>1090050</v>
      </c>
      <c r="Q24" s="24">
        <f>Q20+(13694*85)</f>
        <v>1173516.4398990395</v>
      </c>
      <c r="R24" s="12"/>
    </row>
    <row r="25" spans="1:18" s="13" customFormat="1" x14ac:dyDescent="0.3">
      <c r="A25" s="17"/>
      <c r="B25" s="21"/>
      <c r="C25" s="21"/>
      <c r="D25" s="21"/>
      <c r="E25" s="21"/>
      <c r="F25" s="21"/>
      <c r="G25" s="21"/>
      <c r="H25" s="21"/>
      <c r="I25" s="21"/>
      <c r="J25" s="12"/>
      <c r="K25" s="18"/>
      <c r="L25" s="24">
        <f>(L16-40)*86</f>
        <v>681257.6578122339</v>
      </c>
      <c r="M25" s="24"/>
      <c r="N25" s="24"/>
      <c r="O25" s="24"/>
      <c r="P25" s="24"/>
      <c r="Q25" s="24"/>
      <c r="R25" s="12"/>
    </row>
    <row r="26" spans="1:18" s="23" customFormat="1" x14ac:dyDescent="0.3">
      <c r="A26" s="35"/>
      <c r="B26" s="56" t="s">
        <v>66</v>
      </c>
      <c r="C26" s="64" t="s">
        <v>67</v>
      </c>
      <c r="D26" s="64"/>
      <c r="E26" s="56"/>
      <c r="F26" s="52"/>
      <c r="G26" s="42" t="s">
        <v>66</v>
      </c>
      <c r="I26" s="43" t="s">
        <v>87</v>
      </c>
      <c r="J26" s="34">
        <f>K20+(6156*37.4)</f>
        <v>234517.01910537359</v>
      </c>
      <c r="K26" s="34"/>
      <c r="L26" s="34"/>
      <c r="M26" s="34"/>
      <c r="N26" s="38">
        <f>13974*38.4</f>
        <v>536601.59999999998</v>
      </c>
      <c r="O26" s="34"/>
      <c r="P26" s="38">
        <f>Q20+(13694*37.4)</f>
        <v>521682.03989903955</v>
      </c>
      <c r="Q26" s="16"/>
    </row>
    <row r="27" spans="1:18" s="23" customFormat="1" x14ac:dyDescent="0.3">
      <c r="A27" s="10" t="s">
        <v>48</v>
      </c>
      <c r="B27" s="48">
        <f>250*1000</f>
        <v>250000</v>
      </c>
      <c r="C27" s="48">
        <f>600*1000</f>
        <v>600000</v>
      </c>
      <c r="D27" s="44" t="s">
        <v>49</v>
      </c>
      <c r="E27" s="45">
        <f>C27*9.81</f>
        <v>5886000</v>
      </c>
      <c r="F27" s="53" t="s">
        <v>69</v>
      </c>
      <c r="G27" s="36">
        <v>250000</v>
      </c>
      <c r="I27" s="65"/>
      <c r="J27" s="66"/>
      <c r="K27" s="67"/>
      <c r="L27" s="67"/>
      <c r="M27" s="67"/>
      <c r="N27" s="68"/>
      <c r="O27" s="67"/>
      <c r="P27" s="68"/>
      <c r="Q27" s="16"/>
    </row>
    <row r="28" spans="1:18" s="8" customFormat="1" x14ac:dyDescent="0.3">
      <c r="A28" s="10" t="s">
        <v>45</v>
      </c>
      <c r="B28" s="57">
        <f>Q24</f>
        <v>1173516.4398990395</v>
      </c>
      <c r="C28" s="49">
        <f>Q24</f>
        <v>1173516.4398990395</v>
      </c>
      <c r="D28" s="44" t="s">
        <v>49</v>
      </c>
      <c r="E28" s="46">
        <v>1680000</v>
      </c>
      <c r="F28" s="54" t="s">
        <v>70</v>
      </c>
      <c r="G28" s="37">
        <f>P26</f>
        <v>521682.03989903955</v>
      </c>
      <c r="L28"/>
      <c r="M28"/>
      <c r="N28"/>
      <c r="O28"/>
      <c r="P28"/>
      <c r="Q28"/>
    </row>
    <row r="29" spans="1:18" s="8" customFormat="1" ht="28.8" x14ac:dyDescent="0.3">
      <c r="A29" s="10" t="s">
        <v>52</v>
      </c>
      <c r="B29" s="7">
        <f>B27+B28</f>
        <v>1423516.4398990395</v>
      </c>
      <c r="C29" s="50">
        <f>C27+C28</f>
        <v>1773516.4398990395</v>
      </c>
      <c r="D29" s="44" t="s">
        <v>49</v>
      </c>
      <c r="E29" s="47">
        <f>(E27-E28)/(9.81*1000)</f>
        <v>428.74617737003058</v>
      </c>
      <c r="F29" s="55" t="s">
        <v>71</v>
      </c>
      <c r="G29" s="37">
        <f>G27+G28</f>
        <v>771682.03989903955</v>
      </c>
      <c r="I29" s="61"/>
      <c r="J29" s="32"/>
      <c r="L29"/>
      <c r="M29"/>
      <c r="N29"/>
      <c r="O29"/>
      <c r="P29"/>
      <c r="Q29"/>
    </row>
    <row r="30" spans="1:18" s="8" customFormat="1" x14ac:dyDescent="0.3">
      <c r="A30" s="10"/>
      <c r="B30" s="7"/>
      <c r="C30" s="46"/>
      <c r="D30" s="44"/>
      <c r="E30" s="47"/>
      <c r="F30" s="46"/>
      <c r="G30" s="36"/>
      <c r="J30" s="32"/>
      <c r="L30"/>
      <c r="M30"/>
      <c r="N30"/>
      <c r="O30"/>
      <c r="P30"/>
      <c r="Q30"/>
    </row>
    <row r="31" spans="1:18" x14ac:dyDescent="0.3">
      <c r="A31" s="10" t="s">
        <v>50</v>
      </c>
      <c r="B31" s="51">
        <f>P24+K24</f>
        <v>1617593</v>
      </c>
      <c r="C31" s="51">
        <f>P24+K24</f>
        <v>1617593</v>
      </c>
      <c r="D31" s="44" t="s">
        <v>49</v>
      </c>
      <c r="E31" s="7"/>
      <c r="F31" s="7"/>
      <c r="G31" s="34"/>
      <c r="P31" s="31"/>
    </row>
    <row r="32" spans="1:18" x14ac:dyDescent="0.3">
      <c r="A32" s="10" t="s">
        <v>51</v>
      </c>
      <c r="B32" s="51">
        <f>K24+O24</f>
        <v>1729307</v>
      </c>
      <c r="C32" s="51">
        <f>K24+O24</f>
        <v>1729307</v>
      </c>
      <c r="D32" s="44" t="s">
        <v>62</v>
      </c>
      <c r="E32" s="7"/>
      <c r="F32" s="7"/>
      <c r="G32" s="38">
        <f>J26+N26</f>
        <v>771118.61910537351</v>
      </c>
      <c r="N32" s="1"/>
      <c r="P32" s="31"/>
    </row>
    <row r="33" spans="1:16" x14ac:dyDescent="0.3">
      <c r="B33" s="7"/>
      <c r="C33" s="7"/>
      <c r="D33" s="7"/>
      <c r="E33" s="7"/>
      <c r="F33" s="7"/>
      <c r="G33" s="34"/>
      <c r="N33" s="2"/>
      <c r="O33" s="1"/>
      <c r="P33" s="28"/>
    </row>
    <row r="34" spans="1:16" x14ac:dyDescent="0.3">
      <c r="A34" s="10" t="s">
        <v>64</v>
      </c>
      <c r="B34" s="58">
        <f>(B29-B32)/1000</f>
        <v>-305.79056010096053</v>
      </c>
      <c r="C34" s="50">
        <f>(C29-C32)/1000</f>
        <v>44.209439899039452</v>
      </c>
      <c r="D34" s="44" t="s">
        <v>72</v>
      </c>
      <c r="E34" s="7"/>
      <c r="F34" s="7"/>
      <c r="G34" s="39">
        <f>(G29-G32)/1000</f>
        <v>0.5634207936660387</v>
      </c>
    </row>
    <row r="35" spans="1:16" x14ac:dyDescent="0.3">
      <c r="A35" s="10" t="s">
        <v>64</v>
      </c>
      <c r="B35" s="50">
        <f>B34*9.81</f>
        <v>-2999.805394590423</v>
      </c>
      <c r="C35" s="50">
        <f>C34*9.81</f>
        <v>433.69460540957704</v>
      </c>
      <c r="D35" s="44" t="s">
        <v>74</v>
      </c>
      <c r="E35" s="7"/>
      <c r="F35" s="7"/>
      <c r="J35" s="22"/>
    </row>
    <row r="36" spans="1:16" x14ac:dyDescent="0.3">
      <c r="B36" s="26"/>
      <c r="F36" s="4" t="s">
        <v>60</v>
      </c>
      <c r="G36" s="26">
        <v>38.4</v>
      </c>
      <c r="H36" s="4" t="s">
        <v>63</v>
      </c>
      <c r="J36" s="8"/>
    </row>
    <row r="37" spans="1:16" x14ac:dyDescent="0.3">
      <c r="A37" s="10"/>
      <c r="F37" s="4" t="s">
        <v>61</v>
      </c>
      <c r="G37" s="60">
        <f>86-G36</f>
        <v>47.6</v>
      </c>
      <c r="H37" s="4" t="s">
        <v>63</v>
      </c>
      <c r="J37" s="32"/>
    </row>
    <row r="38" spans="1:16" x14ac:dyDescent="0.3">
      <c r="A38" s="10"/>
      <c r="F38" s="4" t="s">
        <v>53</v>
      </c>
      <c r="G38" s="27">
        <f>G37*23</f>
        <v>1094.8</v>
      </c>
      <c r="H38" s="4" t="s">
        <v>65</v>
      </c>
    </row>
    <row r="39" spans="1:16" x14ac:dyDescent="0.3">
      <c r="A39" s="10"/>
      <c r="F39" s="4" t="s">
        <v>54</v>
      </c>
      <c r="G39" s="27">
        <f>((PI())^2*S12)/G38^2</f>
        <v>2330.2604514848435</v>
      </c>
      <c r="H39" s="4" t="s">
        <v>56</v>
      </c>
    </row>
    <row r="40" spans="1:16" ht="28.8" x14ac:dyDescent="0.3">
      <c r="A40" s="10"/>
      <c r="F40" s="9" t="s">
        <v>55</v>
      </c>
      <c r="G40" s="27">
        <f>(ABS(B34*1000)/2)*9.81</f>
        <v>1499902.6972952115</v>
      </c>
      <c r="H40" s="41" t="s">
        <v>56</v>
      </c>
    </row>
    <row r="41" spans="1:16" x14ac:dyDescent="0.3">
      <c r="A41" s="10"/>
      <c r="F41" s="4" t="s">
        <v>57</v>
      </c>
      <c r="G41" s="27">
        <f>(G40-G39)/1000</f>
        <v>1497.5724368437266</v>
      </c>
    </row>
    <row r="42" spans="1:16" x14ac:dyDescent="0.3">
      <c r="A42" s="10"/>
      <c r="B42" s="48"/>
    </row>
    <row r="43" spans="1:16" x14ac:dyDescent="0.3">
      <c r="A43" s="10"/>
    </row>
    <row r="44" spans="1:16" x14ac:dyDescent="0.3">
      <c r="F44" s="11"/>
      <c r="G44" s="11"/>
      <c r="H44" s="11"/>
      <c r="I44" s="11"/>
    </row>
  </sheetData>
  <mergeCells count="1">
    <mergeCell ref="C26:D26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8"/>
  <sheetViews>
    <sheetView topLeftCell="A7" workbookViewId="0">
      <selection activeCell="B14" sqref="B14"/>
    </sheetView>
  </sheetViews>
  <sheetFormatPr baseColWidth="10" defaultRowHeight="14.4" x14ac:dyDescent="0.3"/>
  <cols>
    <col min="1" max="1" width="32.5546875" customWidth="1"/>
  </cols>
  <sheetData>
    <row r="1" spans="1:5" ht="43.2" x14ac:dyDescent="0.3">
      <c r="A1" s="10"/>
      <c r="B1" s="11"/>
      <c r="C1" s="11"/>
      <c r="D1" s="11"/>
      <c r="E1" s="9" t="s">
        <v>33</v>
      </c>
    </row>
    <row r="2" spans="1:5" x14ac:dyDescent="0.3">
      <c r="A2" s="4" t="s">
        <v>34</v>
      </c>
      <c r="B2">
        <v>2</v>
      </c>
      <c r="D2" s="59" t="s">
        <v>68</v>
      </c>
      <c r="E2" s="59" t="s">
        <v>68</v>
      </c>
    </row>
    <row r="3" spans="1:5" x14ac:dyDescent="0.3">
      <c r="A3" s="4" t="s">
        <v>14</v>
      </c>
      <c r="B3">
        <v>2</v>
      </c>
      <c r="D3" s="40">
        <v>67800</v>
      </c>
      <c r="E3">
        <f>D3/B3</f>
        <v>33900</v>
      </c>
    </row>
    <row r="4" spans="1:5" x14ac:dyDescent="0.3">
      <c r="A4" s="4" t="s">
        <v>15</v>
      </c>
      <c r="B4">
        <v>15</v>
      </c>
      <c r="D4">
        <v>50000</v>
      </c>
      <c r="E4" s="27">
        <f>D4/B4</f>
        <v>3333.3333333333335</v>
      </c>
    </row>
    <row r="5" spans="1:5" x14ac:dyDescent="0.3">
      <c r="A5" s="4" t="s">
        <v>16</v>
      </c>
      <c r="B5">
        <v>10</v>
      </c>
      <c r="D5">
        <v>20000</v>
      </c>
      <c r="E5">
        <f>D5/B5</f>
        <v>2000</v>
      </c>
    </row>
    <row r="6" spans="1:5" x14ac:dyDescent="0.3">
      <c r="A6" s="4" t="s">
        <v>73</v>
      </c>
      <c r="B6">
        <v>3</v>
      </c>
      <c r="D6">
        <v>25000</v>
      </c>
      <c r="E6" s="27">
        <f>D6/B6</f>
        <v>8333.3333333333339</v>
      </c>
    </row>
    <row r="7" spans="1:5" x14ac:dyDescent="0.3">
      <c r="A7" s="4" t="s">
        <v>43</v>
      </c>
      <c r="B7">
        <f>SUM(B2:B6)</f>
        <v>32</v>
      </c>
    </row>
    <row r="9" spans="1:5" x14ac:dyDescent="0.3">
      <c r="A9" s="4" t="s">
        <v>76</v>
      </c>
      <c r="B9">
        <v>2010</v>
      </c>
    </row>
    <row r="10" spans="1:5" x14ac:dyDescent="0.3">
      <c r="A10" s="4" t="s">
        <v>85</v>
      </c>
      <c r="B10">
        <f>B9-B7</f>
        <v>1978</v>
      </c>
    </row>
    <row r="11" spans="1:5" x14ac:dyDescent="0.3">
      <c r="A11" s="4" t="s">
        <v>86</v>
      </c>
      <c r="B11">
        <f>B10/23</f>
        <v>86</v>
      </c>
    </row>
    <row r="14" spans="1:5" x14ac:dyDescent="0.3">
      <c r="A14" s="4" t="s">
        <v>77</v>
      </c>
      <c r="B14">
        <f>2000-B2-B3-B4-B5</f>
        <v>1971</v>
      </c>
    </row>
    <row r="15" spans="1:5" x14ac:dyDescent="0.3">
      <c r="A15" s="4" t="s">
        <v>78</v>
      </c>
      <c r="B15">
        <v>23</v>
      </c>
    </row>
    <row r="16" spans="1:5" x14ac:dyDescent="0.3">
      <c r="A16" s="4"/>
    </row>
    <row r="17" spans="1:2" x14ac:dyDescent="0.3">
      <c r="A17" s="4" t="s">
        <v>82</v>
      </c>
      <c r="B17">
        <f>B14/B15</f>
        <v>85.695652173913047</v>
      </c>
    </row>
    <row r="18" spans="1:2" x14ac:dyDescent="0.3">
      <c r="A18" s="4"/>
      <c r="B18">
        <v>85</v>
      </c>
    </row>
    <row r="19" spans="1:2" x14ac:dyDescent="0.3">
      <c r="A19" s="4"/>
      <c r="B19">
        <f>B17-B18</f>
        <v>0.69565217391304657</v>
      </c>
    </row>
    <row r="20" spans="1:2" x14ac:dyDescent="0.3">
      <c r="A20" s="4" t="s">
        <v>83</v>
      </c>
      <c r="B20">
        <f>B19*B15</f>
        <v>16.000000000000071</v>
      </c>
    </row>
    <row r="21" spans="1:2" x14ac:dyDescent="0.3">
      <c r="A21" s="4"/>
    </row>
    <row r="22" spans="1:2" x14ac:dyDescent="0.3">
      <c r="A22" s="4" t="s">
        <v>81</v>
      </c>
      <c r="B22">
        <f>B11-B17</f>
        <v>0.30434782608695343</v>
      </c>
    </row>
    <row r="23" spans="1:2" x14ac:dyDescent="0.3">
      <c r="A23" s="4" t="s">
        <v>84</v>
      </c>
      <c r="B23">
        <f>B22*B15</f>
        <v>6.9999999999999289</v>
      </c>
    </row>
    <row r="24" spans="1:2" x14ac:dyDescent="0.3">
      <c r="A24" s="4"/>
    </row>
    <row r="25" spans="1:2" x14ac:dyDescent="0.3">
      <c r="A25" s="4"/>
    </row>
    <row r="26" spans="1:2" x14ac:dyDescent="0.3">
      <c r="A26" s="4" t="s">
        <v>79</v>
      </c>
      <c r="B26">
        <f>2010-2000</f>
        <v>10</v>
      </c>
    </row>
    <row r="27" spans="1:2" x14ac:dyDescent="0.3">
      <c r="A27" s="4" t="s">
        <v>73</v>
      </c>
      <c r="B27">
        <v>3</v>
      </c>
    </row>
    <row r="28" spans="1:2" x14ac:dyDescent="0.3">
      <c r="A28" s="4" t="s">
        <v>80</v>
      </c>
      <c r="B28">
        <f>B26-B27</f>
        <v>7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7"/>
  <sheetViews>
    <sheetView topLeftCell="A2" workbookViewId="0">
      <selection activeCell="B31" sqref="B31"/>
    </sheetView>
  </sheetViews>
  <sheetFormatPr baseColWidth="10" defaultRowHeight="14.4" x14ac:dyDescent="0.3"/>
  <cols>
    <col min="1" max="1" width="13.88671875" customWidth="1"/>
  </cols>
  <sheetData>
    <row r="1" spans="1:4" x14ac:dyDescent="0.3">
      <c r="A1" t="s">
        <v>59</v>
      </c>
      <c r="B1">
        <v>23</v>
      </c>
    </row>
    <row r="2" spans="1:4" x14ac:dyDescent="0.3">
      <c r="A2" t="s">
        <v>58</v>
      </c>
      <c r="B2">
        <v>29</v>
      </c>
      <c r="C2">
        <v>0</v>
      </c>
      <c r="D2">
        <f t="shared" ref="D2:D33" si="0">$B$2+C2*$B$1</f>
        <v>29</v>
      </c>
    </row>
    <row r="3" spans="1:4" x14ac:dyDescent="0.3">
      <c r="B3">
        <f t="shared" ref="B3:B34" si="1">B2+23</f>
        <v>52</v>
      </c>
      <c r="C3">
        <f t="shared" ref="C3:C34" si="2">C2+1</f>
        <v>1</v>
      </c>
      <c r="D3">
        <f t="shared" si="0"/>
        <v>52</v>
      </c>
    </row>
    <row r="4" spans="1:4" x14ac:dyDescent="0.3">
      <c r="B4">
        <f t="shared" si="1"/>
        <v>75</v>
      </c>
      <c r="C4">
        <f t="shared" si="2"/>
        <v>2</v>
      </c>
      <c r="D4">
        <f t="shared" si="0"/>
        <v>75</v>
      </c>
    </row>
    <row r="5" spans="1:4" x14ac:dyDescent="0.3">
      <c r="B5">
        <f t="shared" si="1"/>
        <v>98</v>
      </c>
      <c r="C5">
        <f t="shared" si="2"/>
        <v>3</v>
      </c>
      <c r="D5">
        <f t="shared" si="0"/>
        <v>98</v>
      </c>
    </row>
    <row r="6" spans="1:4" x14ac:dyDescent="0.3">
      <c r="B6">
        <f t="shared" si="1"/>
        <v>121</v>
      </c>
      <c r="C6">
        <f t="shared" si="2"/>
        <v>4</v>
      </c>
      <c r="D6">
        <f t="shared" si="0"/>
        <v>121</v>
      </c>
    </row>
    <row r="7" spans="1:4" x14ac:dyDescent="0.3">
      <c r="B7">
        <f t="shared" si="1"/>
        <v>144</v>
      </c>
      <c r="C7">
        <f t="shared" si="2"/>
        <v>5</v>
      </c>
      <c r="D7">
        <f t="shared" si="0"/>
        <v>144</v>
      </c>
    </row>
    <row r="8" spans="1:4" x14ac:dyDescent="0.3">
      <c r="B8">
        <f t="shared" si="1"/>
        <v>167</v>
      </c>
      <c r="C8">
        <f t="shared" si="2"/>
        <v>6</v>
      </c>
      <c r="D8">
        <f t="shared" si="0"/>
        <v>167</v>
      </c>
    </row>
    <row r="9" spans="1:4" x14ac:dyDescent="0.3">
      <c r="B9">
        <f t="shared" si="1"/>
        <v>190</v>
      </c>
      <c r="C9">
        <f t="shared" si="2"/>
        <v>7</v>
      </c>
      <c r="D9">
        <f t="shared" si="0"/>
        <v>190</v>
      </c>
    </row>
    <row r="10" spans="1:4" x14ac:dyDescent="0.3">
      <c r="B10">
        <f t="shared" si="1"/>
        <v>213</v>
      </c>
      <c r="C10">
        <f t="shared" si="2"/>
        <v>8</v>
      </c>
      <c r="D10">
        <f t="shared" si="0"/>
        <v>213</v>
      </c>
    </row>
    <row r="11" spans="1:4" x14ac:dyDescent="0.3">
      <c r="B11">
        <f t="shared" si="1"/>
        <v>236</v>
      </c>
      <c r="C11">
        <f t="shared" si="2"/>
        <v>9</v>
      </c>
      <c r="D11">
        <f t="shared" si="0"/>
        <v>236</v>
      </c>
    </row>
    <row r="12" spans="1:4" x14ac:dyDescent="0.3">
      <c r="B12">
        <f t="shared" si="1"/>
        <v>259</v>
      </c>
      <c r="C12">
        <f t="shared" si="2"/>
        <v>10</v>
      </c>
      <c r="D12">
        <f t="shared" si="0"/>
        <v>259</v>
      </c>
    </row>
    <row r="13" spans="1:4" x14ac:dyDescent="0.3">
      <c r="B13">
        <f t="shared" si="1"/>
        <v>282</v>
      </c>
      <c r="C13">
        <f t="shared" si="2"/>
        <v>11</v>
      </c>
      <c r="D13">
        <f t="shared" si="0"/>
        <v>282</v>
      </c>
    </row>
    <row r="14" spans="1:4" x14ac:dyDescent="0.3">
      <c r="B14">
        <f t="shared" si="1"/>
        <v>305</v>
      </c>
      <c r="C14">
        <f t="shared" si="2"/>
        <v>12</v>
      </c>
      <c r="D14">
        <f t="shared" si="0"/>
        <v>305</v>
      </c>
    </row>
    <row r="15" spans="1:4" x14ac:dyDescent="0.3">
      <c r="B15">
        <f t="shared" si="1"/>
        <v>328</v>
      </c>
      <c r="C15">
        <f t="shared" si="2"/>
        <v>13</v>
      </c>
      <c r="D15">
        <f t="shared" si="0"/>
        <v>328</v>
      </c>
    </row>
    <row r="16" spans="1:4" x14ac:dyDescent="0.3">
      <c r="B16">
        <f t="shared" si="1"/>
        <v>351</v>
      </c>
      <c r="C16">
        <f t="shared" si="2"/>
        <v>14</v>
      </c>
      <c r="D16">
        <f t="shared" si="0"/>
        <v>351</v>
      </c>
    </row>
    <row r="17" spans="2:4" x14ac:dyDescent="0.3">
      <c r="B17">
        <f t="shared" si="1"/>
        <v>374</v>
      </c>
      <c r="C17">
        <f t="shared" si="2"/>
        <v>15</v>
      </c>
      <c r="D17">
        <f t="shared" si="0"/>
        <v>374</v>
      </c>
    </row>
    <row r="18" spans="2:4" x14ac:dyDescent="0.3">
      <c r="B18">
        <f t="shared" si="1"/>
        <v>397</v>
      </c>
      <c r="C18">
        <f t="shared" si="2"/>
        <v>16</v>
      </c>
      <c r="D18">
        <f t="shared" si="0"/>
        <v>397</v>
      </c>
    </row>
    <row r="19" spans="2:4" x14ac:dyDescent="0.3">
      <c r="B19">
        <f t="shared" si="1"/>
        <v>420</v>
      </c>
      <c r="C19">
        <f t="shared" si="2"/>
        <v>17</v>
      </c>
      <c r="D19">
        <f t="shared" si="0"/>
        <v>420</v>
      </c>
    </row>
    <row r="20" spans="2:4" x14ac:dyDescent="0.3">
      <c r="B20">
        <f t="shared" si="1"/>
        <v>443</v>
      </c>
      <c r="C20">
        <f t="shared" si="2"/>
        <v>18</v>
      </c>
      <c r="D20">
        <f t="shared" si="0"/>
        <v>443</v>
      </c>
    </row>
    <row r="21" spans="2:4" x14ac:dyDescent="0.3">
      <c r="B21">
        <f t="shared" si="1"/>
        <v>466</v>
      </c>
      <c r="C21">
        <f t="shared" si="2"/>
        <v>19</v>
      </c>
      <c r="D21">
        <f t="shared" si="0"/>
        <v>466</v>
      </c>
    </row>
    <row r="22" spans="2:4" x14ac:dyDescent="0.3">
      <c r="B22">
        <f t="shared" si="1"/>
        <v>489</v>
      </c>
      <c r="C22">
        <f t="shared" si="2"/>
        <v>20</v>
      </c>
      <c r="D22">
        <f t="shared" si="0"/>
        <v>489</v>
      </c>
    </row>
    <row r="23" spans="2:4" x14ac:dyDescent="0.3">
      <c r="B23">
        <f t="shared" si="1"/>
        <v>512</v>
      </c>
      <c r="C23">
        <f t="shared" si="2"/>
        <v>21</v>
      </c>
      <c r="D23">
        <f t="shared" si="0"/>
        <v>512</v>
      </c>
    </row>
    <row r="24" spans="2:4" x14ac:dyDescent="0.3">
      <c r="B24">
        <f t="shared" si="1"/>
        <v>535</v>
      </c>
      <c r="C24">
        <f t="shared" si="2"/>
        <v>22</v>
      </c>
      <c r="D24">
        <f t="shared" si="0"/>
        <v>535</v>
      </c>
    </row>
    <row r="25" spans="2:4" x14ac:dyDescent="0.3">
      <c r="B25">
        <f t="shared" si="1"/>
        <v>558</v>
      </c>
      <c r="C25">
        <f t="shared" si="2"/>
        <v>23</v>
      </c>
      <c r="D25">
        <f t="shared" si="0"/>
        <v>558</v>
      </c>
    </row>
    <row r="26" spans="2:4" x14ac:dyDescent="0.3">
      <c r="B26">
        <f t="shared" si="1"/>
        <v>581</v>
      </c>
      <c r="C26">
        <f t="shared" si="2"/>
        <v>24</v>
      </c>
      <c r="D26">
        <f t="shared" si="0"/>
        <v>581</v>
      </c>
    </row>
    <row r="27" spans="2:4" x14ac:dyDescent="0.3">
      <c r="B27">
        <f t="shared" si="1"/>
        <v>604</v>
      </c>
      <c r="C27">
        <f t="shared" si="2"/>
        <v>25</v>
      </c>
      <c r="D27">
        <f t="shared" si="0"/>
        <v>604</v>
      </c>
    </row>
    <row r="28" spans="2:4" x14ac:dyDescent="0.3">
      <c r="B28">
        <f t="shared" si="1"/>
        <v>627</v>
      </c>
      <c r="C28">
        <f t="shared" si="2"/>
        <v>26</v>
      </c>
      <c r="D28">
        <f t="shared" si="0"/>
        <v>627</v>
      </c>
    </row>
    <row r="29" spans="2:4" x14ac:dyDescent="0.3">
      <c r="B29">
        <f t="shared" si="1"/>
        <v>650</v>
      </c>
      <c r="C29">
        <f t="shared" si="2"/>
        <v>27</v>
      </c>
      <c r="D29">
        <f t="shared" si="0"/>
        <v>650</v>
      </c>
    </row>
    <row r="30" spans="2:4" x14ac:dyDescent="0.3">
      <c r="B30">
        <f t="shared" si="1"/>
        <v>673</v>
      </c>
      <c r="C30">
        <f t="shared" si="2"/>
        <v>28</v>
      </c>
      <c r="D30">
        <f t="shared" si="0"/>
        <v>673</v>
      </c>
    </row>
    <row r="31" spans="2:4" x14ac:dyDescent="0.3">
      <c r="B31">
        <f t="shared" si="1"/>
        <v>696</v>
      </c>
      <c r="C31">
        <f t="shared" si="2"/>
        <v>29</v>
      </c>
      <c r="D31">
        <f t="shared" si="0"/>
        <v>696</v>
      </c>
    </row>
    <row r="32" spans="2:4" x14ac:dyDescent="0.3">
      <c r="B32">
        <f t="shared" si="1"/>
        <v>719</v>
      </c>
      <c r="C32">
        <f t="shared" si="2"/>
        <v>30</v>
      </c>
      <c r="D32">
        <f t="shared" si="0"/>
        <v>719</v>
      </c>
    </row>
    <row r="33" spans="2:4" x14ac:dyDescent="0.3">
      <c r="B33">
        <f t="shared" si="1"/>
        <v>742</v>
      </c>
      <c r="C33">
        <f t="shared" si="2"/>
        <v>31</v>
      </c>
      <c r="D33">
        <f t="shared" si="0"/>
        <v>742</v>
      </c>
    </row>
    <row r="34" spans="2:4" x14ac:dyDescent="0.3">
      <c r="B34">
        <f t="shared" si="1"/>
        <v>765</v>
      </c>
      <c r="C34">
        <f t="shared" si="2"/>
        <v>32</v>
      </c>
      <c r="D34">
        <f t="shared" ref="D34:D65" si="3">$B$2+C34*$B$1</f>
        <v>765</v>
      </c>
    </row>
    <row r="35" spans="2:4" x14ac:dyDescent="0.3">
      <c r="B35">
        <f t="shared" ref="B35:B66" si="4">B34+23</f>
        <v>788</v>
      </c>
      <c r="C35">
        <f t="shared" ref="C35:C66" si="5">C34+1</f>
        <v>33</v>
      </c>
      <c r="D35">
        <f t="shared" si="3"/>
        <v>788</v>
      </c>
    </row>
    <row r="36" spans="2:4" x14ac:dyDescent="0.3">
      <c r="B36">
        <f t="shared" si="4"/>
        <v>811</v>
      </c>
      <c r="C36">
        <f t="shared" si="5"/>
        <v>34</v>
      </c>
      <c r="D36">
        <f t="shared" si="3"/>
        <v>811</v>
      </c>
    </row>
    <row r="37" spans="2:4" x14ac:dyDescent="0.3">
      <c r="B37">
        <f t="shared" si="4"/>
        <v>834</v>
      </c>
      <c r="C37">
        <f t="shared" si="5"/>
        <v>35</v>
      </c>
      <c r="D37">
        <f t="shared" si="3"/>
        <v>834</v>
      </c>
    </row>
    <row r="38" spans="2:4" x14ac:dyDescent="0.3">
      <c r="B38">
        <f t="shared" si="4"/>
        <v>857</v>
      </c>
      <c r="C38">
        <f t="shared" si="5"/>
        <v>36</v>
      </c>
      <c r="D38">
        <f t="shared" si="3"/>
        <v>857</v>
      </c>
    </row>
    <row r="39" spans="2:4" x14ac:dyDescent="0.3">
      <c r="B39">
        <f t="shared" si="4"/>
        <v>880</v>
      </c>
      <c r="C39">
        <f t="shared" si="5"/>
        <v>37</v>
      </c>
      <c r="D39">
        <f t="shared" si="3"/>
        <v>880</v>
      </c>
    </row>
    <row r="40" spans="2:4" x14ac:dyDescent="0.3">
      <c r="B40">
        <f t="shared" si="4"/>
        <v>903</v>
      </c>
      <c r="C40">
        <f t="shared" si="5"/>
        <v>38</v>
      </c>
      <c r="D40">
        <f t="shared" si="3"/>
        <v>903</v>
      </c>
    </row>
    <row r="41" spans="2:4" x14ac:dyDescent="0.3">
      <c r="B41">
        <f t="shared" si="4"/>
        <v>926</v>
      </c>
      <c r="C41">
        <f t="shared" si="5"/>
        <v>39</v>
      </c>
      <c r="D41">
        <f t="shared" si="3"/>
        <v>926</v>
      </c>
    </row>
    <row r="42" spans="2:4" x14ac:dyDescent="0.3">
      <c r="B42">
        <f t="shared" si="4"/>
        <v>949</v>
      </c>
      <c r="C42">
        <f t="shared" si="5"/>
        <v>40</v>
      </c>
      <c r="D42">
        <f t="shared" si="3"/>
        <v>949</v>
      </c>
    </row>
    <row r="43" spans="2:4" x14ac:dyDescent="0.3">
      <c r="B43">
        <f t="shared" si="4"/>
        <v>972</v>
      </c>
      <c r="C43">
        <f t="shared" si="5"/>
        <v>41</v>
      </c>
      <c r="D43">
        <f t="shared" si="3"/>
        <v>972</v>
      </c>
    </row>
    <row r="44" spans="2:4" x14ac:dyDescent="0.3">
      <c r="B44">
        <f t="shared" si="4"/>
        <v>995</v>
      </c>
      <c r="C44">
        <f t="shared" si="5"/>
        <v>42</v>
      </c>
      <c r="D44">
        <f t="shared" si="3"/>
        <v>995</v>
      </c>
    </row>
    <row r="45" spans="2:4" x14ac:dyDescent="0.3">
      <c r="B45">
        <f t="shared" si="4"/>
        <v>1018</v>
      </c>
      <c r="C45">
        <f t="shared" si="5"/>
        <v>43</v>
      </c>
      <c r="D45">
        <f t="shared" si="3"/>
        <v>1018</v>
      </c>
    </row>
    <row r="46" spans="2:4" x14ac:dyDescent="0.3">
      <c r="B46">
        <f t="shared" si="4"/>
        <v>1041</v>
      </c>
      <c r="C46">
        <f t="shared" si="5"/>
        <v>44</v>
      </c>
      <c r="D46">
        <f t="shared" si="3"/>
        <v>1041</v>
      </c>
    </row>
    <row r="47" spans="2:4" x14ac:dyDescent="0.3">
      <c r="B47">
        <f t="shared" si="4"/>
        <v>1064</v>
      </c>
      <c r="C47">
        <f t="shared" si="5"/>
        <v>45</v>
      </c>
      <c r="D47">
        <f t="shared" si="3"/>
        <v>1064</v>
      </c>
    </row>
    <row r="48" spans="2:4" x14ac:dyDescent="0.3">
      <c r="B48">
        <f t="shared" si="4"/>
        <v>1087</v>
      </c>
      <c r="C48">
        <f t="shared" si="5"/>
        <v>46</v>
      </c>
      <c r="D48">
        <f t="shared" si="3"/>
        <v>1087</v>
      </c>
    </row>
    <row r="49" spans="2:4" x14ac:dyDescent="0.3">
      <c r="B49">
        <f t="shared" si="4"/>
        <v>1110</v>
      </c>
      <c r="C49">
        <f t="shared" si="5"/>
        <v>47</v>
      </c>
      <c r="D49">
        <f t="shared" si="3"/>
        <v>1110</v>
      </c>
    </row>
    <row r="50" spans="2:4" x14ac:dyDescent="0.3">
      <c r="B50">
        <f t="shared" si="4"/>
        <v>1133</v>
      </c>
      <c r="C50">
        <f t="shared" si="5"/>
        <v>48</v>
      </c>
      <c r="D50">
        <f t="shared" si="3"/>
        <v>1133</v>
      </c>
    </row>
    <row r="51" spans="2:4" x14ac:dyDescent="0.3">
      <c r="B51">
        <f t="shared" si="4"/>
        <v>1156</v>
      </c>
      <c r="C51">
        <f t="shared" si="5"/>
        <v>49</v>
      </c>
      <c r="D51">
        <f t="shared" si="3"/>
        <v>1156</v>
      </c>
    </row>
    <row r="52" spans="2:4" x14ac:dyDescent="0.3">
      <c r="B52">
        <f t="shared" si="4"/>
        <v>1179</v>
      </c>
      <c r="C52">
        <f t="shared" si="5"/>
        <v>50</v>
      </c>
      <c r="D52">
        <f t="shared" si="3"/>
        <v>1179</v>
      </c>
    </row>
    <row r="53" spans="2:4" x14ac:dyDescent="0.3">
      <c r="B53">
        <f t="shared" si="4"/>
        <v>1202</v>
      </c>
      <c r="C53">
        <f t="shared" si="5"/>
        <v>51</v>
      </c>
      <c r="D53">
        <f t="shared" si="3"/>
        <v>1202</v>
      </c>
    </row>
    <row r="54" spans="2:4" x14ac:dyDescent="0.3">
      <c r="B54">
        <f t="shared" si="4"/>
        <v>1225</v>
      </c>
      <c r="C54">
        <f t="shared" si="5"/>
        <v>52</v>
      </c>
      <c r="D54">
        <f t="shared" si="3"/>
        <v>1225</v>
      </c>
    </row>
    <row r="55" spans="2:4" x14ac:dyDescent="0.3">
      <c r="B55">
        <f t="shared" si="4"/>
        <v>1248</v>
      </c>
      <c r="C55">
        <f t="shared" si="5"/>
        <v>53</v>
      </c>
      <c r="D55">
        <f t="shared" si="3"/>
        <v>1248</v>
      </c>
    </row>
    <row r="56" spans="2:4" x14ac:dyDescent="0.3">
      <c r="B56">
        <f t="shared" si="4"/>
        <v>1271</v>
      </c>
      <c r="C56">
        <f t="shared" si="5"/>
        <v>54</v>
      </c>
      <c r="D56">
        <f t="shared" si="3"/>
        <v>1271</v>
      </c>
    </row>
    <row r="57" spans="2:4" x14ac:dyDescent="0.3">
      <c r="B57">
        <f t="shared" si="4"/>
        <v>1294</v>
      </c>
      <c r="C57">
        <f t="shared" si="5"/>
        <v>55</v>
      </c>
      <c r="D57">
        <f t="shared" si="3"/>
        <v>1294</v>
      </c>
    </row>
    <row r="58" spans="2:4" x14ac:dyDescent="0.3">
      <c r="B58">
        <f t="shared" si="4"/>
        <v>1317</v>
      </c>
      <c r="C58">
        <f t="shared" si="5"/>
        <v>56</v>
      </c>
      <c r="D58">
        <f t="shared" si="3"/>
        <v>1317</v>
      </c>
    </row>
    <row r="59" spans="2:4" x14ac:dyDescent="0.3">
      <c r="B59">
        <f t="shared" si="4"/>
        <v>1340</v>
      </c>
      <c r="C59">
        <f t="shared" si="5"/>
        <v>57</v>
      </c>
      <c r="D59">
        <f t="shared" si="3"/>
        <v>1340</v>
      </c>
    </row>
    <row r="60" spans="2:4" x14ac:dyDescent="0.3">
      <c r="B60">
        <f t="shared" si="4"/>
        <v>1363</v>
      </c>
      <c r="C60">
        <f t="shared" si="5"/>
        <v>58</v>
      </c>
      <c r="D60">
        <f t="shared" si="3"/>
        <v>1363</v>
      </c>
    </row>
    <row r="61" spans="2:4" x14ac:dyDescent="0.3">
      <c r="B61">
        <f t="shared" si="4"/>
        <v>1386</v>
      </c>
      <c r="C61">
        <f t="shared" si="5"/>
        <v>59</v>
      </c>
      <c r="D61">
        <f t="shared" si="3"/>
        <v>1386</v>
      </c>
    </row>
    <row r="62" spans="2:4" x14ac:dyDescent="0.3">
      <c r="B62">
        <f t="shared" si="4"/>
        <v>1409</v>
      </c>
      <c r="C62">
        <f t="shared" si="5"/>
        <v>60</v>
      </c>
      <c r="D62">
        <f t="shared" si="3"/>
        <v>1409</v>
      </c>
    </row>
    <row r="63" spans="2:4" x14ac:dyDescent="0.3">
      <c r="B63">
        <f t="shared" si="4"/>
        <v>1432</v>
      </c>
      <c r="C63">
        <f t="shared" si="5"/>
        <v>61</v>
      </c>
      <c r="D63">
        <f t="shared" si="3"/>
        <v>1432</v>
      </c>
    </row>
    <row r="64" spans="2:4" x14ac:dyDescent="0.3">
      <c r="B64">
        <f t="shared" si="4"/>
        <v>1455</v>
      </c>
      <c r="C64">
        <f t="shared" si="5"/>
        <v>62</v>
      </c>
      <c r="D64">
        <f t="shared" si="3"/>
        <v>1455</v>
      </c>
    </row>
    <row r="65" spans="2:4" x14ac:dyDescent="0.3">
      <c r="B65">
        <f t="shared" si="4"/>
        <v>1478</v>
      </c>
      <c r="C65">
        <f t="shared" si="5"/>
        <v>63</v>
      </c>
      <c r="D65">
        <f t="shared" si="3"/>
        <v>1478</v>
      </c>
    </row>
    <row r="66" spans="2:4" x14ac:dyDescent="0.3">
      <c r="B66">
        <f t="shared" si="4"/>
        <v>1501</v>
      </c>
      <c r="C66">
        <f t="shared" si="5"/>
        <v>64</v>
      </c>
      <c r="D66">
        <f t="shared" ref="D66:D87" si="6">$B$2+C66*$B$1</f>
        <v>1501</v>
      </c>
    </row>
    <row r="67" spans="2:4" x14ac:dyDescent="0.3">
      <c r="B67">
        <f t="shared" ref="B67:B87" si="7">B66+23</f>
        <v>1524</v>
      </c>
      <c r="C67">
        <f t="shared" ref="C67:C87" si="8">C66+1</f>
        <v>65</v>
      </c>
      <c r="D67">
        <f t="shared" si="6"/>
        <v>1524</v>
      </c>
    </row>
    <row r="68" spans="2:4" x14ac:dyDescent="0.3">
      <c r="B68">
        <f t="shared" si="7"/>
        <v>1547</v>
      </c>
      <c r="C68">
        <f t="shared" si="8"/>
        <v>66</v>
      </c>
      <c r="D68">
        <f t="shared" si="6"/>
        <v>1547</v>
      </c>
    </row>
    <row r="69" spans="2:4" x14ac:dyDescent="0.3">
      <c r="B69">
        <f t="shared" si="7"/>
        <v>1570</v>
      </c>
      <c r="C69">
        <f t="shared" si="8"/>
        <v>67</v>
      </c>
      <c r="D69">
        <f t="shared" si="6"/>
        <v>1570</v>
      </c>
    </row>
    <row r="70" spans="2:4" x14ac:dyDescent="0.3">
      <c r="B70">
        <f t="shared" si="7"/>
        <v>1593</v>
      </c>
      <c r="C70">
        <f t="shared" si="8"/>
        <v>68</v>
      </c>
      <c r="D70">
        <f t="shared" si="6"/>
        <v>1593</v>
      </c>
    </row>
    <row r="71" spans="2:4" x14ac:dyDescent="0.3">
      <c r="B71">
        <f t="shared" si="7"/>
        <v>1616</v>
      </c>
      <c r="C71">
        <f t="shared" si="8"/>
        <v>69</v>
      </c>
      <c r="D71">
        <f t="shared" si="6"/>
        <v>1616</v>
      </c>
    </row>
    <row r="72" spans="2:4" x14ac:dyDescent="0.3">
      <c r="B72">
        <f t="shared" si="7"/>
        <v>1639</v>
      </c>
      <c r="C72">
        <f t="shared" si="8"/>
        <v>70</v>
      </c>
      <c r="D72">
        <f t="shared" si="6"/>
        <v>1639</v>
      </c>
    </row>
    <row r="73" spans="2:4" x14ac:dyDescent="0.3">
      <c r="B73">
        <f t="shared" si="7"/>
        <v>1662</v>
      </c>
      <c r="C73">
        <f t="shared" si="8"/>
        <v>71</v>
      </c>
      <c r="D73">
        <f t="shared" si="6"/>
        <v>1662</v>
      </c>
    </row>
    <row r="74" spans="2:4" x14ac:dyDescent="0.3">
      <c r="B74">
        <f t="shared" si="7"/>
        <v>1685</v>
      </c>
      <c r="C74">
        <f t="shared" si="8"/>
        <v>72</v>
      </c>
      <c r="D74">
        <f t="shared" si="6"/>
        <v>1685</v>
      </c>
    </row>
    <row r="75" spans="2:4" x14ac:dyDescent="0.3">
      <c r="B75">
        <f t="shared" si="7"/>
        <v>1708</v>
      </c>
      <c r="C75">
        <f t="shared" si="8"/>
        <v>73</v>
      </c>
      <c r="D75">
        <f t="shared" si="6"/>
        <v>1708</v>
      </c>
    </row>
    <row r="76" spans="2:4" x14ac:dyDescent="0.3">
      <c r="B76">
        <f t="shared" si="7"/>
        <v>1731</v>
      </c>
      <c r="C76">
        <f t="shared" si="8"/>
        <v>74</v>
      </c>
      <c r="D76">
        <f t="shared" si="6"/>
        <v>1731</v>
      </c>
    </row>
    <row r="77" spans="2:4" x14ac:dyDescent="0.3">
      <c r="B77">
        <f t="shared" si="7"/>
        <v>1754</v>
      </c>
      <c r="C77">
        <f t="shared" si="8"/>
        <v>75</v>
      </c>
      <c r="D77">
        <f t="shared" si="6"/>
        <v>1754</v>
      </c>
    </row>
    <row r="78" spans="2:4" x14ac:dyDescent="0.3">
      <c r="B78">
        <f t="shared" si="7"/>
        <v>1777</v>
      </c>
      <c r="C78">
        <f t="shared" si="8"/>
        <v>76</v>
      </c>
      <c r="D78">
        <f t="shared" si="6"/>
        <v>1777</v>
      </c>
    </row>
    <row r="79" spans="2:4" x14ac:dyDescent="0.3">
      <c r="B79">
        <f t="shared" si="7"/>
        <v>1800</v>
      </c>
      <c r="C79">
        <f t="shared" si="8"/>
        <v>77</v>
      </c>
      <c r="D79">
        <f t="shared" si="6"/>
        <v>1800</v>
      </c>
    </row>
    <row r="80" spans="2:4" x14ac:dyDescent="0.3">
      <c r="B80">
        <f t="shared" si="7"/>
        <v>1823</v>
      </c>
      <c r="C80">
        <f t="shared" si="8"/>
        <v>78</v>
      </c>
      <c r="D80">
        <f t="shared" si="6"/>
        <v>1823</v>
      </c>
    </row>
    <row r="81" spans="2:4" x14ac:dyDescent="0.3">
      <c r="B81">
        <f t="shared" si="7"/>
        <v>1846</v>
      </c>
      <c r="C81">
        <f t="shared" si="8"/>
        <v>79</v>
      </c>
      <c r="D81">
        <f t="shared" si="6"/>
        <v>1846</v>
      </c>
    </row>
    <row r="82" spans="2:4" x14ac:dyDescent="0.3">
      <c r="B82">
        <f t="shared" si="7"/>
        <v>1869</v>
      </c>
      <c r="C82">
        <f t="shared" si="8"/>
        <v>80</v>
      </c>
      <c r="D82">
        <f t="shared" si="6"/>
        <v>1869</v>
      </c>
    </row>
    <row r="83" spans="2:4" x14ac:dyDescent="0.3">
      <c r="B83">
        <f t="shared" si="7"/>
        <v>1892</v>
      </c>
      <c r="C83">
        <f t="shared" si="8"/>
        <v>81</v>
      </c>
      <c r="D83">
        <f t="shared" si="6"/>
        <v>1892</v>
      </c>
    </row>
    <row r="84" spans="2:4" x14ac:dyDescent="0.3">
      <c r="B84">
        <f t="shared" si="7"/>
        <v>1915</v>
      </c>
      <c r="C84">
        <f t="shared" si="8"/>
        <v>82</v>
      </c>
      <c r="D84">
        <f t="shared" si="6"/>
        <v>1915</v>
      </c>
    </row>
    <row r="85" spans="2:4" x14ac:dyDescent="0.3">
      <c r="B85">
        <f t="shared" si="7"/>
        <v>1938</v>
      </c>
      <c r="C85">
        <f t="shared" si="8"/>
        <v>83</v>
      </c>
      <c r="D85">
        <f t="shared" si="6"/>
        <v>1938</v>
      </c>
    </row>
    <row r="86" spans="2:4" x14ac:dyDescent="0.3">
      <c r="B86">
        <f t="shared" si="7"/>
        <v>1961</v>
      </c>
      <c r="C86">
        <f t="shared" si="8"/>
        <v>84</v>
      </c>
      <c r="D86">
        <f t="shared" si="6"/>
        <v>1961</v>
      </c>
    </row>
    <row r="87" spans="2:4" x14ac:dyDescent="0.3">
      <c r="B87">
        <f t="shared" si="7"/>
        <v>1984</v>
      </c>
      <c r="C87">
        <f t="shared" si="8"/>
        <v>85</v>
      </c>
      <c r="D87">
        <f t="shared" si="6"/>
        <v>1984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Martine</cp:lastModifiedBy>
  <dcterms:created xsi:type="dcterms:W3CDTF">2016-02-19T08:13:42Z</dcterms:created>
  <dcterms:modified xsi:type="dcterms:W3CDTF">2016-07-27T19:55:24Z</dcterms:modified>
</cp:coreProperties>
</file>