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70" yWindow="0" windowWidth="22695" windowHeight="12270" activeTab="1"/>
  </bookViews>
  <sheets>
    <sheet name="Test" sheetId="1" r:id="rId1"/>
    <sheet name="Usikkerhet" sheetId="2" r:id="rId2"/>
    <sheet name="Ark3" sheetId="3" r:id="rId3"/>
  </sheets>
  <calcPr calcId="125725"/>
</workbook>
</file>

<file path=xl/calcChain.xml><?xml version="1.0" encoding="utf-8"?>
<calcChain xmlns="http://schemas.openxmlformats.org/spreadsheetml/2006/main">
  <c r="Z15" i="2"/>
  <c r="Z16"/>
  <c r="Z17"/>
  <c r="Z18"/>
  <c r="Z19"/>
  <c r="Z20"/>
  <c r="Z21"/>
  <c r="Z22"/>
  <c r="Z25"/>
  <c r="Z26"/>
  <c r="Z27"/>
  <c r="Z28"/>
  <c r="Z29"/>
  <c r="Z30"/>
  <c r="Z31"/>
  <c r="Z32"/>
  <c r="Z33"/>
  <c r="Z36"/>
  <c r="Z37"/>
  <c r="Z38"/>
  <c r="Z39"/>
  <c r="Z40"/>
  <c r="Z41"/>
  <c r="Z42"/>
  <c r="Z43"/>
  <c r="Z44"/>
  <c r="Z47"/>
  <c r="Z48"/>
  <c r="Z49"/>
  <c r="Z50"/>
  <c r="Z51"/>
  <c r="Z52"/>
  <c r="Z53"/>
  <c r="Z54"/>
  <c r="Z55"/>
  <c r="Z58"/>
  <c r="Z59"/>
  <c r="Z60"/>
  <c r="Z61"/>
  <c r="Z62"/>
  <c r="Z63"/>
  <c r="Z64"/>
  <c r="Z65"/>
  <c r="Z66"/>
  <c r="Z67"/>
  <c r="Z14"/>
  <c r="Z4"/>
  <c r="Z5"/>
  <c r="Z6"/>
  <c r="Z7"/>
  <c r="Z8"/>
  <c r="Z9"/>
  <c r="Z10"/>
  <c r="Z11"/>
  <c r="Q3"/>
  <c r="Q4"/>
  <c r="Y4" s="1"/>
  <c r="Q5"/>
  <c r="Y5" s="1"/>
  <c r="Q6"/>
  <c r="Y6" s="1"/>
  <c r="Q7"/>
  <c r="Y7" s="1"/>
  <c r="Q8"/>
  <c r="Y8" s="1"/>
  <c r="Q9"/>
  <c r="Y9" s="1"/>
  <c r="Q10"/>
  <c r="Y10" s="1"/>
  <c r="Q11"/>
  <c r="Y11" s="1"/>
  <c r="Q14"/>
  <c r="Y14" s="1"/>
  <c r="Q15"/>
  <c r="Y15" s="1"/>
  <c r="Q16"/>
  <c r="Y16" s="1"/>
  <c r="Q17"/>
  <c r="Y17" s="1"/>
  <c r="Q18"/>
  <c r="Y18" s="1"/>
  <c r="Q19"/>
  <c r="Y19" s="1"/>
  <c r="Q20"/>
  <c r="Y20" s="1"/>
  <c r="Q21"/>
  <c r="Y21" s="1"/>
  <c r="Q22"/>
  <c r="Y22" s="1"/>
  <c r="Q25"/>
  <c r="Y25" s="1"/>
  <c r="Q26"/>
  <c r="Y26" s="1"/>
  <c r="Q27"/>
  <c r="Y27" s="1"/>
  <c r="Q28"/>
  <c r="Y28" s="1"/>
  <c r="Q29"/>
  <c r="Y29" s="1"/>
  <c r="Q30"/>
  <c r="Y30" s="1"/>
  <c r="Q31"/>
  <c r="Y31" s="1"/>
  <c r="Q32"/>
  <c r="Y32" s="1"/>
  <c r="Q33"/>
  <c r="Y33" s="1"/>
  <c r="Q36"/>
  <c r="Y36" s="1"/>
  <c r="Q37"/>
  <c r="Y37" s="1"/>
  <c r="Q38"/>
  <c r="Y38" s="1"/>
  <c r="Q39"/>
  <c r="Y39" s="1"/>
  <c r="Q40"/>
  <c r="Y40" s="1"/>
  <c r="Q41"/>
  <c r="Y41" s="1"/>
  <c r="Q42"/>
  <c r="Y42" s="1"/>
  <c r="Q43"/>
  <c r="Y43" s="1"/>
  <c r="Q44"/>
  <c r="Y44" s="1"/>
  <c r="Q47"/>
  <c r="Y47" s="1"/>
  <c r="Q48"/>
  <c r="Y48" s="1"/>
  <c r="Q49"/>
  <c r="Y49" s="1"/>
  <c r="Q50"/>
  <c r="Y50" s="1"/>
  <c r="Q51"/>
  <c r="Y51" s="1"/>
  <c r="Q52"/>
  <c r="Y52" s="1"/>
  <c r="Q53"/>
  <c r="Y53" s="1"/>
  <c r="Q54"/>
  <c r="Y54" s="1"/>
  <c r="Q55"/>
  <c r="Y55" s="1"/>
  <c r="Q58"/>
  <c r="Y58" s="1"/>
  <c r="Q59"/>
  <c r="Y59" s="1"/>
  <c r="Q60"/>
  <c r="Y60" s="1"/>
  <c r="Q61"/>
  <c r="Y61" s="1"/>
  <c r="Q62"/>
  <c r="Y62" s="1"/>
  <c r="Q63"/>
  <c r="Y63" s="1"/>
  <c r="Q64"/>
  <c r="Y64" s="1"/>
  <c r="Q65"/>
  <c r="Y65" s="1"/>
  <c r="Q66"/>
  <c r="Y66" s="1"/>
  <c r="P4"/>
  <c r="P5"/>
  <c r="P6"/>
  <c r="P7"/>
  <c r="P8"/>
  <c r="P9"/>
  <c r="P10"/>
  <c r="P11"/>
  <c r="P14"/>
  <c r="P15"/>
  <c r="P16"/>
  <c r="P17"/>
  <c r="P18"/>
  <c r="P19"/>
  <c r="P20"/>
  <c r="P21"/>
  <c r="P22"/>
  <c r="P25"/>
  <c r="P26"/>
  <c r="P27"/>
  <c r="P28"/>
  <c r="P29"/>
  <c r="P30"/>
  <c r="P31"/>
  <c r="P32"/>
  <c r="P33"/>
  <c r="P36"/>
  <c r="P37"/>
  <c r="P38"/>
  <c r="P39"/>
  <c r="P40"/>
  <c r="P41"/>
  <c r="P42"/>
  <c r="P43"/>
  <c r="P44"/>
  <c r="P47"/>
  <c r="P48"/>
  <c r="P49"/>
  <c r="P50"/>
  <c r="P51"/>
  <c r="P52"/>
  <c r="P53"/>
  <c r="P54"/>
  <c r="P55"/>
  <c r="P58"/>
  <c r="P59"/>
  <c r="P60"/>
  <c r="P61"/>
  <c r="P62"/>
  <c r="P63"/>
  <c r="P64"/>
  <c r="P65"/>
  <c r="P66"/>
  <c r="O4"/>
  <c r="W4" s="1"/>
  <c r="O5"/>
  <c r="W5" s="1"/>
  <c r="O6"/>
  <c r="W6" s="1"/>
  <c r="O7"/>
  <c r="W7" s="1"/>
  <c r="O8"/>
  <c r="W8" s="1"/>
  <c r="O9"/>
  <c r="W9" s="1"/>
  <c r="O10"/>
  <c r="W10" s="1"/>
  <c r="O11"/>
  <c r="W11" s="1"/>
  <c r="O14"/>
  <c r="W14" s="1"/>
  <c r="O15"/>
  <c r="W15" s="1"/>
  <c r="O16"/>
  <c r="W16" s="1"/>
  <c r="O17"/>
  <c r="W17" s="1"/>
  <c r="O18"/>
  <c r="W18" s="1"/>
  <c r="O19"/>
  <c r="W19" s="1"/>
  <c r="O20"/>
  <c r="W20" s="1"/>
  <c r="O21"/>
  <c r="W21" s="1"/>
  <c r="O22"/>
  <c r="W22" s="1"/>
  <c r="O25"/>
  <c r="W25" s="1"/>
  <c r="O26"/>
  <c r="W26" s="1"/>
  <c r="O27"/>
  <c r="W27" s="1"/>
  <c r="O28"/>
  <c r="W28" s="1"/>
  <c r="O29"/>
  <c r="W29" s="1"/>
  <c r="O30"/>
  <c r="W30" s="1"/>
  <c r="O31"/>
  <c r="W31" s="1"/>
  <c r="O32"/>
  <c r="W32" s="1"/>
  <c r="O33"/>
  <c r="W33" s="1"/>
  <c r="O36"/>
  <c r="W36" s="1"/>
  <c r="O37"/>
  <c r="W37" s="1"/>
  <c r="O38"/>
  <c r="W38" s="1"/>
  <c r="O39"/>
  <c r="W39" s="1"/>
  <c r="O40"/>
  <c r="W40" s="1"/>
  <c r="O41"/>
  <c r="W41" s="1"/>
  <c r="O42"/>
  <c r="W42" s="1"/>
  <c r="O43"/>
  <c r="W43" s="1"/>
  <c r="O44"/>
  <c r="W44" s="1"/>
  <c r="O47"/>
  <c r="W47" s="1"/>
  <c r="O48"/>
  <c r="W48" s="1"/>
  <c r="O49"/>
  <c r="W49" s="1"/>
  <c r="O50"/>
  <c r="W50" s="1"/>
  <c r="O51"/>
  <c r="W51" s="1"/>
  <c r="O52"/>
  <c r="W52" s="1"/>
  <c r="O53"/>
  <c r="W53" s="1"/>
  <c r="O54"/>
  <c r="W54" s="1"/>
  <c r="O55"/>
  <c r="W55" s="1"/>
  <c r="O58"/>
  <c r="W58" s="1"/>
  <c r="O59"/>
  <c r="W59" s="1"/>
  <c r="O60"/>
  <c r="W60" s="1"/>
  <c r="O61"/>
  <c r="W61" s="1"/>
  <c r="O62"/>
  <c r="W62" s="1"/>
  <c r="O63"/>
  <c r="W63" s="1"/>
  <c r="O64"/>
  <c r="W64" s="1"/>
  <c r="O65"/>
  <c r="W65" s="1"/>
  <c r="O66"/>
  <c r="W66" s="1"/>
  <c r="P3"/>
  <c r="O3"/>
  <c r="W3" s="1"/>
  <c r="Z3"/>
  <c r="B48"/>
  <c r="B47"/>
  <c r="B46"/>
  <c r="A38"/>
  <c r="B37"/>
  <c r="B36"/>
  <c r="B35" s="1"/>
  <c r="D36" s="1"/>
  <c r="B34"/>
  <c r="D34" s="1"/>
  <c r="B31"/>
  <c r="B30"/>
  <c r="C30" s="1"/>
  <c r="B29"/>
  <c r="B28"/>
  <c r="E13"/>
  <c r="E6"/>
  <c r="E7" s="1"/>
  <c r="E5"/>
  <c r="E4"/>
  <c r="Y3"/>
  <c r="N23" i="1"/>
  <c r="N25"/>
  <c r="N26"/>
  <c r="N27"/>
  <c r="N28"/>
  <c r="N29"/>
  <c r="N30"/>
  <c r="N31"/>
  <c r="N32"/>
  <c r="N33"/>
  <c r="N34"/>
  <c r="N36"/>
  <c r="N37"/>
  <c r="N38"/>
  <c r="N39"/>
  <c r="N40"/>
  <c r="N41"/>
  <c r="N42"/>
  <c r="N43"/>
  <c r="N44"/>
  <c r="N45"/>
  <c r="N47"/>
  <c r="N48"/>
  <c r="N49"/>
  <c r="N50"/>
  <c r="N51"/>
  <c r="N52"/>
  <c r="N53"/>
  <c r="N54"/>
  <c r="N55"/>
  <c r="N56"/>
  <c r="N58"/>
  <c r="N59"/>
  <c r="N60"/>
  <c r="N61"/>
  <c r="N62"/>
  <c r="N63"/>
  <c r="N64"/>
  <c r="N65"/>
  <c r="N66"/>
  <c r="N67"/>
  <c r="N5"/>
  <c r="N6"/>
  <c r="N7"/>
  <c r="N8"/>
  <c r="N9"/>
  <c r="N10"/>
  <c r="N11"/>
  <c r="N12"/>
  <c r="N14"/>
  <c r="N15"/>
  <c r="N16"/>
  <c r="N17"/>
  <c r="N18"/>
  <c r="N19"/>
  <c r="N20"/>
  <c r="N21"/>
  <c r="N22"/>
  <c r="N4"/>
  <c r="N3"/>
  <c r="H69"/>
  <c r="U67"/>
  <c r="U56"/>
  <c r="U45"/>
  <c r="U34"/>
  <c r="U23"/>
  <c r="U12"/>
  <c r="J59"/>
  <c r="J60"/>
  <c r="J61"/>
  <c r="J62"/>
  <c r="J63"/>
  <c r="J64"/>
  <c r="J65"/>
  <c r="J66"/>
  <c r="J67"/>
  <c r="I59"/>
  <c r="I60"/>
  <c r="I61"/>
  <c r="I62"/>
  <c r="I63"/>
  <c r="I64"/>
  <c r="I65"/>
  <c r="I66"/>
  <c r="I67"/>
  <c r="J58"/>
  <c r="I58"/>
  <c r="J48"/>
  <c r="J49"/>
  <c r="J50"/>
  <c r="J51"/>
  <c r="J52"/>
  <c r="J53"/>
  <c r="J54"/>
  <c r="J55"/>
  <c r="J56"/>
  <c r="I48"/>
  <c r="I49"/>
  <c r="I50"/>
  <c r="I51"/>
  <c r="I52"/>
  <c r="I53"/>
  <c r="I54"/>
  <c r="I55"/>
  <c r="I56"/>
  <c r="J47"/>
  <c r="I47"/>
  <c r="J37"/>
  <c r="J38"/>
  <c r="J39"/>
  <c r="J40"/>
  <c r="J41"/>
  <c r="J42"/>
  <c r="J43"/>
  <c r="J44"/>
  <c r="J45"/>
  <c r="I37"/>
  <c r="I38"/>
  <c r="I39"/>
  <c r="I40"/>
  <c r="I41"/>
  <c r="I42"/>
  <c r="I43"/>
  <c r="I44"/>
  <c r="I45"/>
  <c r="J36"/>
  <c r="I36"/>
  <c r="J26"/>
  <c r="J27"/>
  <c r="J28"/>
  <c r="J29"/>
  <c r="J30"/>
  <c r="J31"/>
  <c r="J32"/>
  <c r="J33"/>
  <c r="J34"/>
  <c r="I26"/>
  <c r="I27"/>
  <c r="I28"/>
  <c r="I29"/>
  <c r="I30"/>
  <c r="I31"/>
  <c r="I32"/>
  <c r="I33"/>
  <c r="I34"/>
  <c r="J25"/>
  <c r="I25"/>
  <c r="J15"/>
  <c r="J16"/>
  <c r="J17"/>
  <c r="J18"/>
  <c r="J19"/>
  <c r="J20"/>
  <c r="J21"/>
  <c r="J22"/>
  <c r="J23"/>
  <c r="I15"/>
  <c r="I16"/>
  <c r="I17"/>
  <c r="I18"/>
  <c r="I19"/>
  <c r="I20"/>
  <c r="I21"/>
  <c r="I22"/>
  <c r="I23"/>
  <c r="J14"/>
  <c r="I14"/>
  <c r="J4"/>
  <c r="J5"/>
  <c r="J6"/>
  <c r="J7"/>
  <c r="J8"/>
  <c r="J9"/>
  <c r="J10"/>
  <c r="J11"/>
  <c r="J12"/>
  <c r="I4"/>
  <c r="I5"/>
  <c r="I6"/>
  <c r="I7"/>
  <c r="I8"/>
  <c r="I9"/>
  <c r="I10"/>
  <c r="I11"/>
  <c r="I12"/>
  <c r="J3"/>
  <c r="I3"/>
  <c r="X5" i="2" l="1"/>
  <c r="B32"/>
  <c r="X65"/>
  <c r="X63"/>
  <c r="X61"/>
  <c r="X59"/>
  <c r="X54"/>
  <c r="X52"/>
  <c r="X50"/>
  <c r="X48"/>
  <c r="AB48" s="1"/>
  <c r="X43"/>
  <c r="X41"/>
  <c r="X39"/>
  <c r="X37"/>
  <c r="X32"/>
  <c r="X30"/>
  <c r="X28"/>
  <c r="X26"/>
  <c r="X21"/>
  <c r="X19"/>
  <c r="X17"/>
  <c r="X15"/>
  <c r="X10"/>
  <c r="X8"/>
  <c r="X6"/>
  <c r="X4"/>
  <c r="C28"/>
  <c r="X66"/>
  <c r="X64"/>
  <c r="X62"/>
  <c r="X60"/>
  <c r="AB60" s="1"/>
  <c r="X58"/>
  <c r="X55"/>
  <c r="X53"/>
  <c r="X51"/>
  <c r="X49"/>
  <c r="X47"/>
  <c r="X44"/>
  <c r="X42"/>
  <c r="X40"/>
  <c r="X38"/>
  <c r="X36"/>
  <c r="X33"/>
  <c r="X31"/>
  <c r="X29"/>
  <c r="X27"/>
  <c r="X25"/>
  <c r="X22"/>
  <c r="X20"/>
  <c r="X18"/>
  <c r="X16"/>
  <c r="X14"/>
  <c r="X11"/>
  <c r="X9"/>
  <c r="X7"/>
  <c r="C33"/>
  <c r="X3"/>
  <c r="AB6"/>
  <c r="AB10"/>
  <c r="AB21"/>
  <c r="AB30"/>
  <c r="AB3"/>
  <c r="AB38"/>
  <c r="AB33"/>
  <c r="AB29"/>
  <c r="AB16"/>
  <c r="AB14"/>
  <c r="AB11"/>
  <c r="AB9"/>
  <c r="AB7"/>
  <c r="AB5"/>
  <c r="AB37"/>
  <c r="AB19"/>
  <c r="AB17"/>
  <c r="AB15"/>
  <c r="AB8"/>
  <c r="AB4"/>
  <c r="D31"/>
  <c r="E23"/>
  <c r="E17" s="1"/>
  <c r="D29"/>
  <c r="E8"/>
  <c r="E19" s="1"/>
  <c r="AB18"/>
  <c r="E18"/>
  <c r="B38" s="1"/>
  <c r="C37" s="1"/>
  <c r="AB20"/>
  <c r="AB22"/>
  <c r="AB25"/>
  <c r="AB26"/>
  <c r="AB27"/>
  <c r="AB28"/>
  <c r="AB31"/>
  <c r="AB32"/>
  <c r="AB36"/>
  <c r="C35"/>
  <c r="AB39"/>
  <c r="AB40"/>
  <c r="AB41"/>
  <c r="AB42"/>
  <c r="AB43"/>
  <c r="AB47"/>
  <c r="AB50"/>
  <c r="AB52"/>
  <c r="AB53"/>
  <c r="AB54"/>
  <c r="AB55"/>
  <c r="AB58"/>
  <c r="AB59"/>
  <c r="AB44"/>
  <c r="AB49"/>
  <c r="AB51"/>
  <c r="AB61"/>
  <c r="AB62"/>
  <c r="AB63"/>
  <c r="AB64"/>
  <c r="AB65"/>
  <c r="AB66"/>
  <c r="B27" l="1"/>
  <c r="B26" s="1"/>
  <c r="E20"/>
  <c r="E21" s="1"/>
  <c r="E22" s="1"/>
  <c r="D38"/>
  <c r="D27" l="1"/>
  <c r="C26"/>
  <c r="D41" l="1"/>
  <c r="E27" s="1"/>
  <c r="E34" l="1"/>
  <c r="E36"/>
  <c r="E29"/>
  <c r="E31"/>
  <c r="E38"/>
</calcChain>
</file>

<file path=xl/sharedStrings.xml><?xml version="1.0" encoding="utf-8"?>
<sst xmlns="http://schemas.openxmlformats.org/spreadsheetml/2006/main" count="131" uniqueCount="99">
  <si>
    <t>Dens [kg/m3]</t>
  </si>
  <si>
    <t>dP [Pa]</t>
  </si>
  <si>
    <t>Q_blende [m3/s]</t>
  </si>
  <si>
    <t>Moment [Nm]</t>
  </si>
  <si>
    <t>Turtall [rpm]</t>
  </si>
  <si>
    <t>Eff</t>
  </si>
  <si>
    <t>C</t>
  </si>
  <si>
    <t>dC [%]</t>
  </si>
  <si>
    <t>Frekvens</t>
  </si>
  <si>
    <t>Åpning Ventil</t>
  </si>
  <si>
    <t>rør av</t>
  </si>
  <si>
    <t>nytt punkt</t>
  </si>
  <si>
    <t>Q_aff</t>
  </si>
  <si>
    <t>P_aff</t>
  </si>
  <si>
    <t>verifisering</t>
  </si>
  <si>
    <t>Avvik [%]</t>
  </si>
  <si>
    <t>Eff max</t>
  </si>
  <si>
    <t>T [C]</t>
  </si>
  <si>
    <t>Patm [Pa]</t>
  </si>
  <si>
    <t>dP_Q [Pa]</t>
  </si>
  <si>
    <t>Variabel feil fra kalibrering</t>
  </si>
  <si>
    <t>Total feil fra kalibrering</t>
  </si>
  <si>
    <t>Relativ feil fra test</t>
  </si>
  <si>
    <t>Total feil i variabler</t>
  </si>
  <si>
    <t>Feil i virkn. grad</t>
  </si>
  <si>
    <t>Basis</t>
  </si>
  <si>
    <t>NS-EN ISO 5167-1</t>
  </si>
  <si>
    <t>og</t>
  </si>
  <si>
    <t>NS-EN ISO 5167-2</t>
  </si>
  <si>
    <t>f_dp_a+b</t>
  </si>
  <si>
    <t>f_dpQ_a+b</t>
  </si>
  <si>
    <t>f_t_a+b</t>
  </si>
  <si>
    <t>f_dp_kal</t>
  </si>
  <si>
    <t>f_dpQ_kal</t>
  </si>
  <si>
    <t>f_t_kal</t>
  </si>
  <si>
    <t>f_dP_l</t>
  </si>
  <si>
    <t>f_dPQ_l</t>
  </si>
  <si>
    <t>f_t_l</t>
  </si>
  <si>
    <t>f_dP</t>
  </si>
  <si>
    <t>f_dpQ</t>
  </si>
  <si>
    <t>f_t</t>
  </si>
  <si>
    <t>f_w</t>
  </si>
  <si>
    <t>f_eta</t>
  </si>
  <si>
    <t>Antatt luftmengde (for overslag av Re-tall)</t>
  </si>
  <si>
    <t>m3/s</t>
  </si>
  <si>
    <t>Hastighet i rør</t>
  </si>
  <si>
    <t>m/s</t>
  </si>
  <si>
    <t>Hastighet i blende</t>
  </si>
  <si>
    <t>Dynamisk viskositet for luft</t>
  </si>
  <si>
    <t>Ns/m2</t>
  </si>
  <si>
    <t>Kinematisk viskositet for luft</t>
  </si>
  <si>
    <t>m2/s</t>
  </si>
  <si>
    <t>Reynoldstall</t>
  </si>
  <si>
    <t>Blendediameter</t>
  </si>
  <si>
    <t>d</t>
  </si>
  <si>
    <t>m</t>
  </si>
  <si>
    <t>delta p</t>
  </si>
  <si>
    <t>Pa</t>
  </si>
  <si>
    <t>rho</t>
  </si>
  <si>
    <t>kg/m3</t>
  </si>
  <si>
    <t>Rørdiameter</t>
  </si>
  <si>
    <t>D</t>
  </si>
  <si>
    <t>Beta</t>
  </si>
  <si>
    <t>l1</t>
  </si>
  <si>
    <t>l2</t>
  </si>
  <si>
    <t>p1</t>
  </si>
  <si>
    <t>p2</t>
  </si>
  <si>
    <t>epsilon</t>
  </si>
  <si>
    <t>Discharge coeffisient</t>
  </si>
  <si>
    <t>Volumstrøm</t>
  </si>
  <si>
    <t>kg/s</t>
  </si>
  <si>
    <t>m3/h</t>
  </si>
  <si>
    <t>Trykktap (statisk trykkdifferanse rørvegg før og etter blende)</t>
  </si>
  <si>
    <t>Beregning av målefeil</t>
  </si>
  <si>
    <t>dC</t>
  </si>
  <si>
    <t>dD</t>
  </si>
  <si>
    <t>dd</t>
  </si>
  <si>
    <t>beta</t>
  </si>
  <si>
    <t>d(delta)p</t>
  </si>
  <si>
    <t>(delta)p</t>
  </si>
  <si>
    <t>drho</t>
  </si>
  <si>
    <t>depsilon</t>
  </si>
  <si>
    <t>Målefeil for volumstrøm fra blende</t>
  </si>
  <si>
    <t>Konstante feil</t>
  </si>
  <si>
    <t>f_Ttemp</t>
  </si>
  <si>
    <t>f_Patm</t>
  </si>
  <si>
    <t>f_rho</t>
  </si>
  <si>
    <t>f_d</t>
  </si>
  <si>
    <t>f_D</t>
  </si>
  <si>
    <t>f_dP_a+b</t>
  </si>
  <si>
    <t>f_dPQ_a+b</t>
  </si>
  <si>
    <t>f_dP_f</t>
  </si>
  <si>
    <t>f_dPQ_f</t>
  </si>
  <si>
    <t>f_C</t>
  </si>
  <si>
    <t>f_s</t>
  </si>
  <si>
    <t>f_lodd</t>
  </si>
  <si>
    <t>Std_dP</t>
  </si>
  <si>
    <t>Std_dP_Q</t>
  </si>
  <si>
    <t>Std_mom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</si>
</sst>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64" formatCode="0.0000"/>
    <numFmt numFmtId="165" formatCode="0.0"/>
    <numFmt numFmtId="166" formatCode="_(* #,##0.000_);_(* \(#,##0.000\);_(* &quot;-&quot;??_);_(@_)"/>
    <numFmt numFmtId="167" formatCode="_(* #,##0.0_);_(* \(#,##0.0\);_(* &quot;-&quot;??_);_(@_)"/>
    <numFmt numFmtId="168" formatCode="0.0000\ %"/>
  </numFmts>
  <fonts count="7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8">
    <xf numFmtId="0" fontId="0" fillId="0" borderId="0" xfId="0"/>
    <xf numFmtId="0" fontId="1" fillId="2" borderId="0" xfId="1"/>
    <xf numFmtId="164" fontId="0" fillId="0" borderId="0" xfId="0" applyNumberFormat="1"/>
    <xf numFmtId="0" fontId="3" fillId="0" borderId="1" xfId="0" applyFont="1" applyBorder="1"/>
    <xf numFmtId="0" fontId="3" fillId="0" borderId="2" xfId="0" applyFont="1" applyBorder="1"/>
    <xf numFmtId="0" fontId="3" fillId="0" borderId="0" xfId="0" applyFont="1" applyFill="1" applyBorder="1"/>
    <xf numFmtId="165" fontId="3" fillId="0" borderId="0" xfId="0" applyNumberFormat="1" applyFont="1"/>
    <xf numFmtId="11" fontId="4" fillId="0" borderId="0" xfId="2" applyNumberFormat="1" applyFont="1"/>
    <xf numFmtId="11" fontId="3" fillId="0" borderId="0" xfId="2" applyNumberFormat="1" applyFont="1"/>
    <xf numFmtId="0" fontId="0" fillId="3" borderId="0" xfId="0" applyFill="1"/>
    <xf numFmtId="0" fontId="0" fillId="4" borderId="0" xfId="0" applyFill="1"/>
    <xf numFmtId="0" fontId="3" fillId="0" borderId="0" xfId="0" applyFont="1"/>
    <xf numFmtId="0" fontId="0" fillId="0" borderId="0" xfId="0" applyBorder="1"/>
    <xf numFmtId="0" fontId="3" fillId="0" borderId="0" xfId="0" applyFont="1" applyBorder="1"/>
    <xf numFmtId="1" fontId="3" fillId="0" borderId="0" xfId="0" applyNumberFormat="1" applyFont="1" applyBorder="1"/>
    <xf numFmtId="0" fontId="0" fillId="0" borderId="0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" fontId="0" fillId="0" borderId="0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64" fontId="3" fillId="0" borderId="9" xfId="0" applyNumberFormat="1" applyFont="1" applyBorder="1"/>
    <xf numFmtId="0" fontId="0" fillId="0" borderId="10" xfId="0" applyBorder="1"/>
    <xf numFmtId="164" fontId="3" fillId="0" borderId="0" xfId="0" applyNumberFormat="1" applyFont="1"/>
    <xf numFmtId="166" fontId="3" fillId="0" borderId="0" xfId="2" applyNumberFormat="1" applyFont="1"/>
    <xf numFmtId="167" fontId="3" fillId="4" borderId="0" xfId="2" applyNumberFormat="1" applyFont="1" applyFill="1"/>
    <xf numFmtId="1" fontId="3" fillId="0" borderId="0" xfId="0" applyNumberFormat="1" applyFont="1"/>
    <xf numFmtId="0" fontId="3" fillId="0" borderId="3" xfId="0" applyFont="1" applyBorder="1"/>
    <xf numFmtId="10" fontId="0" fillId="0" borderId="0" xfId="3" applyNumberFormat="1" applyFont="1" applyBorder="1"/>
    <xf numFmtId="164" fontId="0" fillId="0" borderId="0" xfId="0" applyNumberFormat="1" applyBorder="1"/>
    <xf numFmtId="10" fontId="0" fillId="0" borderId="7" xfId="3" applyNumberFormat="1" applyFont="1" applyBorder="1"/>
    <xf numFmtId="0" fontId="3" fillId="0" borderId="8" xfId="0" applyFont="1" applyBorder="1"/>
    <xf numFmtId="168" fontId="5" fillId="0" borderId="9" xfId="3" applyNumberFormat="1" applyFont="1" applyBorder="1"/>
    <xf numFmtId="10" fontId="0" fillId="0" borderId="10" xfId="3" applyNumberFormat="1" applyFont="1" applyBorder="1"/>
    <xf numFmtId="0" fontId="6" fillId="0" borderId="0" xfId="0" applyFont="1"/>
  </cellXfs>
  <cellStyles count="4">
    <cellStyle name="God" xfId="1" builtinId="26"/>
    <cellStyle name="Normal" xfId="0" builtinId="0"/>
    <cellStyle name="Prosent" xfId="3" builtinId="5"/>
    <cellStyle name="Tusenskille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b-NO"/>
  <c:chart>
    <c:plotArea>
      <c:layout>
        <c:manualLayout>
          <c:layoutTarget val="inner"/>
          <c:xMode val="edge"/>
          <c:yMode val="edge"/>
          <c:x val="3.5847855760752202E-2"/>
          <c:y val="3.7605409223505012E-2"/>
          <c:w val="0.799290615817004"/>
          <c:h val="0.85791887261036692"/>
        </c:manualLayout>
      </c:layout>
      <c:scatterChart>
        <c:scatterStyle val="smoothMarker"/>
        <c:ser>
          <c:idx val="0"/>
          <c:order val="0"/>
          <c:tx>
            <c:v>Trykk1350</c:v>
          </c:tx>
          <c:xVal>
            <c:numRef>
              <c:f>Test!$E$58:$E$66</c:f>
              <c:numCache>
                <c:formatCode>0.0000</c:formatCode>
                <c:ptCount val="9"/>
                <c:pt idx="0">
                  <c:v>3.5549999999999998E-2</c:v>
                </c:pt>
                <c:pt idx="1">
                  <c:v>8.4970000000000004E-2</c:v>
                </c:pt>
                <c:pt idx="2">
                  <c:v>0.13419</c:v>
                </c:pt>
                <c:pt idx="3">
                  <c:v>0.20354</c:v>
                </c:pt>
                <c:pt idx="4">
                  <c:v>0.28195999999999999</c:v>
                </c:pt>
                <c:pt idx="5">
                  <c:v>0.33681</c:v>
                </c:pt>
                <c:pt idx="6">
                  <c:v>0.37575999999999998</c:v>
                </c:pt>
                <c:pt idx="7">
                  <c:v>0.39692</c:v>
                </c:pt>
                <c:pt idx="8">
                  <c:v>0.43525000000000003</c:v>
                </c:pt>
              </c:numCache>
            </c:numRef>
          </c:xVal>
          <c:yVal>
            <c:numRef>
              <c:f>Test!$D$58:$D$66</c:f>
              <c:numCache>
                <c:formatCode>0.0000</c:formatCode>
                <c:ptCount val="9"/>
                <c:pt idx="0">
                  <c:v>357.5675</c:v>
                </c:pt>
                <c:pt idx="1">
                  <c:v>325.04462000000001</c:v>
                </c:pt>
                <c:pt idx="2">
                  <c:v>311.96312</c:v>
                </c:pt>
                <c:pt idx="3">
                  <c:v>297.01504</c:v>
                </c:pt>
                <c:pt idx="4">
                  <c:v>272.87428</c:v>
                </c:pt>
                <c:pt idx="5">
                  <c:v>251.87350000000001</c:v>
                </c:pt>
                <c:pt idx="6">
                  <c:v>234.94211999999999</c:v>
                </c:pt>
                <c:pt idx="7">
                  <c:v>225.38140000000001</c:v>
                </c:pt>
                <c:pt idx="8">
                  <c:v>205.99582000000001</c:v>
                </c:pt>
              </c:numCache>
            </c:numRef>
          </c:yVal>
          <c:smooth val="1"/>
        </c:ser>
        <c:ser>
          <c:idx val="2"/>
          <c:order val="2"/>
          <c:tx>
            <c:v>Trykk1480</c:v>
          </c:tx>
          <c:xVal>
            <c:numRef>
              <c:f>Test!$E$47:$E$55</c:f>
              <c:numCache>
                <c:formatCode>0.0000</c:formatCode>
                <c:ptCount val="9"/>
                <c:pt idx="0">
                  <c:v>3.6400000000000002E-2</c:v>
                </c:pt>
                <c:pt idx="1">
                  <c:v>9.3590000000000007E-2</c:v>
                </c:pt>
                <c:pt idx="2">
                  <c:v>0.15401000000000001</c:v>
                </c:pt>
                <c:pt idx="3">
                  <c:v>0.22814999999999999</c:v>
                </c:pt>
                <c:pt idx="4">
                  <c:v>0.30764000000000002</c:v>
                </c:pt>
                <c:pt idx="5">
                  <c:v>0.36774000000000001</c:v>
                </c:pt>
                <c:pt idx="6">
                  <c:v>0.40733000000000003</c:v>
                </c:pt>
                <c:pt idx="7">
                  <c:v>0.43331999999999998</c:v>
                </c:pt>
                <c:pt idx="8">
                  <c:v>0.47538999999999998</c:v>
                </c:pt>
              </c:numCache>
            </c:numRef>
          </c:xVal>
          <c:yVal>
            <c:numRef>
              <c:f>Test!$D$47:$D$55</c:f>
              <c:numCache>
                <c:formatCode>0.0000</c:formatCode>
                <c:ptCount val="9"/>
                <c:pt idx="0">
                  <c:v>430.12229000000002</c:v>
                </c:pt>
                <c:pt idx="1">
                  <c:v>390.64972999999998</c:v>
                </c:pt>
                <c:pt idx="2">
                  <c:v>374.19704999999999</c:v>
                </c:pt>
                <c:pt idx="3">
                  <c:v>354.90848999999997</c:v>
                </c:pt>
                <c:pt idx="4">
                  <c:v>327.18779000000001</c:v>
                </c:pt>
                <c:pt idx="5">
                  <c:v>301.62128999999999</c:v>
                </c:pt>
                <c:pt idx="6">
                  <c:v>282.72437000000002</c:v>
                </c:pt>
                <c:pt idx="7">
                  <c:v>269.75659999999999</c:v>
                </c:pt>
                <c:pt idx="8">
                  <c:v>246.55668</c:v>
                </c:pt>
              </c:numCache>
            </c:numRef>
          </c:yVal>
          <c:smooth val="1"/>
        </c:ser>
        <c:ser>
          <c:idx val="3"/>
          <c:order val="3"/>
          <c:tx>
            <c:v>Trykk1600</c:v>
          </c:tx>
          <c:xVal>
            <c:numRef>
              <c:f>Test!$E$36:$E$44</c:f>
              <c:numCache>
                <c:formatCode>0.0000</c:formatCode>
                <c:ptCount val="9"/>
                <c:pt idx="0">
                  <c:v>3.678E-2</c:v>
                </c:pt>
                <c:pt idx="1">
                  <c:v>9.8040000000000002E-2</c:v>
                </c:pt>
                <c:pt idx="2">
                  <c:v>0.16993</c:v>
                </c:pt>
                <c:pt idx="3">
                  <c:v>0.24807999999999999</c:v>
                </c:pt>
                <c:pt idx="4">
                  <c:v>0.33654000000000001</c:v>
                </c:pt>
                <c:pt idx="5">
                  <c:v>0.40061999999999998</c:v>
                </c:pt>
                <c:pt idx="6">
                  <c:v>0.44195000000000001</c:v>
                </c:pt>
                <c:pt idx="7">
                  <c:v>0.46749000000000002</c:v>
                </c:pt>
                <c:pt idx="8">
                  <c:v>0.51273000000000002</c:v>
                </c:pt>
              </c:numCache>
            </c:numRef>
          </c:xVal>
          <c:yVal>
            <c:numRef>
              <c:f>Test!$D$36:$D$44</c:f>
              <c:numCache>
                <c:formatCode>0.0000</c:formatCode>
                <c:ptCount val="9"/>
                <c:pt idx="0">
                  <c:v>506.33276999999998</c:v>
                </c:pt>
                <c:pt idx="1">
                  <c:v>461.12772999999999</c:v>
                </c:pt>
                <c:pt idx="2">
                  <c:v>439.09415999999999</c:v>
                </c:pt>
                <c:pt idx="3">
                  <c:v>416.41858999999999</c:v>
                </c:pt>
                <c:pt idx="4">
                  <c:v>381.74488000000002</c:v>
                </c:pt>
                <c:pt idx="5">
                  <c:v>351.60708</c:v>
                </c:pt>
                <c:pt idx="6">
                  <c:v>329.71510000000001</c:v>
                </c:pt>
                <c:pt idx="7">
                  <c:v>315.21780999999999</c:v>
                </c:pt>
                <c:pt idx="8">
                  <c:v>288.04791999999998</c:v>
                </c:pt>
              </c:numCache>
            </c:numRef>
          </c:yVal>
          <c:smooth val="1"/>
        </c:ser>
        <c:ser>
          <c:idx val="4"/>
          <c:order val="4"/>
          <c:tx>
            <c:v>Trykk2000</c:v>
          </c:tx>
          <c:xVal>
            <c:numRef>
              <c:f>Test!$E$3:$E$11</c:f>
              <c:numCache>
                <c:formatCode>0.0000</c:formatCode>
                <c:ptCount val="9"/>
                <c:pt idx="0">
                  <c:v>4.0689999999999997E-2</c:v>
                </c:pt>
                <c:pt idx="1">
                  <c:v>0.12642</c:v>
                </c:pt>
                <c:pt idx="2">
                  <c:v>0.21809999999999999</c:v>
                </c:pt>
                <c:pt idx="3">
                  <c:v>0.31341000000000002</c:v>
                </c:pt>
                <c:pt idx="4">
                  <c:v>0.41699000000000003</c:v>
                </c:pt>
                <c:pt idx="5">
                  <c:v>0.47715999999999997</c:v>
                </c:pt>
                <c:pt idx="6">
                  <c:v>0.53813999999999995</c:v>
                </c:pt>
                <c:pt idx="7">
                  <c:v>0.57665999999999995</c:v>
                </c:pt>
                <c:pt idx="8">
                  <c:v>0.63344999999999996</c:v>
                </c:pt>
              </c:numCache>
            </c:numRef>
          </c:xVal>
          <c:yVal>
            <c:numRef>
              <c:f>Test!$D$3:$D$11</c:f>
              <c:numCache>
                <c:formatCode>0.0000</c:formatCode>
                <c:ptCount val="9"/>
                <c:pt idx="0">
                  <c:v>816.05241000000001</c:v>
                </c:pt>
                <c:pt idx="1">
                  <c:v>738.98586</c:v>
                </c:pt>
                <c:pt idx="2">
                  <c:v>697.09603000000004</c:v>
                </c:pt>
                <c:pt idx="3">
                  <c:v>655.25112000000001</c:v>
                </c:pt>
                <c:pt idx="4">
                  <c:v>595.73672999999997</c:v>
                </c:pt>
                <c:pt idx="5">
                  <c:v>557.01651000000004</c:v>
                </c:pt>
                <c:pt idx="6">
                  <c:v>514.19123999999999</c:v>
                </c:pt>
                <c:pt idx="7">
                  <c:v>486.11583000000002</c:v>
                </c:pt>
                <c:pt idx="8">
                  <c:v>442.61703999999997</c:v>
                </c:pt>
              </c:numCache>
            </c:numRef>
          </c:yVal>
          <c:smooth val="1"/>
        </c:ser>
        <c:ser>
          <c:idx val="8"/>
          <c:order val="8"/>
          <c:tx>
            <c:v>Trykk1900</c:v>
          </c:tx>
          <c:xVal>
            <c:numRef>
              <c:f>Test!$E$14:$E$22</c:f>
              <c:numCache>
                <c:formatCode>0.0000</c:formatCode>
                <c:ptCount val="9"/>
                <c:pt idx="0">
                  <c:v>3.9140000000000001E-2</c:v>
                </c:pt>
                <c:pt idx="1">
                  <c:v>0.12626000000000001</c:v>
                </c:pt>
                <c:pt idx="2">
                  <c:v>0.20105999999999999</c:v>
                </c:pt>
                <c:pt idx="3">
                  <c:v>0.29546</c:v>
                </c:pt>
                <c:pt idx="4">
                  <c:v>0.39839999999999998</c:v>
                </c:pt>
                <c:pt idx="5">
                  <c:v>0.47099000000000002</c:v>
                </c:pt>
                <c:pt idx="6">
                  <c:v>0.52264999999999995</c:v>
                </c:pt>
                <c:pt idx="7">
                  <c:v>0.54890000000000005</c:v>
                </c:pt>
                <c:pt idx="8">
                  <c:v>0.60319</c:v>
                </c:pt>
              </c:numCache>
            </c:numRef>
          </c:xVal>
          <c:yVal>
            <c:numRef>
              <c:f>Test!$D$14:$D$22</c:f>
              <c:numCache>
                <c:formatCode>0.0000</c:formatCode>
                <c:ptCount val="9"/>
                <c:pt idx="0">
                  <c:v>724.29007999999999</c:v>
                </c:pt>
                <c:pt idx="1">
                  <c:v>652.40961000000004</c:v>
                </c:pt>
                <c:pt idx="2">
                  <c:v>623.29195000000004</c:v>
                </c:pt>
                <c:pt idx="3">
                  <c:v>586.75724000000002</c:v>
                </c:pt>
                <c:pt idx="4">
                  <c:v>534.29651000000001</c:v>
                </c:pt>
                <c:pt idx="5">
                  <c:v>490.95505000000003</c:v>
                </c:pt>
                <c:pt idx="6">
                  <c:v>456.28262999999998</c:v>
                </c:pt>
                <c:pt idx="7">
                  <c:v>438.78464000000002</c:v>
                </c:pt>
                <c:pt idx="8">
                  <c:v>399.44992000000002</c:v>
                </c:pt>
              </c:numCache>
            </c:numRef>
          </c:yVal>
          <c:smooth val="1"/>
        </c:ser>
        <c:ser>
          <c:idx val="10"/>
          <c:order val="10"/>
          <c:tx>
            <c:v>Trykk1760</c:v>
          </c:tx>
          <c:xVal>
            <c:numRef>
              <c:f>Test!$E$25:$E$33</c:f>
              <c:numCache>
                <c:formatCode>0.0000</c:formatCode>
                <c:ptCount val="9"/>
                <c:pt idx="0">
                  <c:v>3.823E-2</c:v>
                </c:pt>
                <c:pt idx="1">
                  <c:v>0.11194</c:v>
                </c:pt>
                <c:pt idx="2">
                  <c:v>0.18984999999999999</c:v>
                </c:pt>
                <c:pt idx="3">
                  <c:v>0.27872999999999998</c:v>
                </c:pt>
                <c:pt idx="4">
                  <c:v>0.37064000000000002</c:v>
                </c:pt>
                <c:pt idx="5">
                  <c:v>0.43074000000000001</c:v>
                </c:pt>
                <c:pt idx="6">
                  <c:v>0.48293000000000003</c:v>
                </c:pt>
                <c:pt idx="7">
                  <c:v>0.51114999999999999</c:v>
                </c:pt>
                <c:pt idx="8">
                  <c:v>0.5615</c:v>
                </c:pt>
              </c:numCache>
            </c:numRef>
          </c:xVal>
          <c:yVal>
            <c:numRef>
              <c:f>Test!$D$25:$D$33</c:f>
              <c:numCache>
                <c:formatCode>0.0000</c:formatCode>
                <c:ptCount val="9"/>
                <c:pt idx="0">
                  <c:v>615.38939000000005</c:v>
                </c:pt>
                <c:pt idx="1">
                  <c:v>558.14043000000004</c:v>
                </c:pt>
                <c:pt idx="2">
                  <c:v>531.37415999999996</c:v>
                </c:pt>
                <c:pt idx="3">
                  <c:v>501.01123000000001</c:v>
                </c:pt>
                <c:pt idx="4">
                  <c:v>459.66397999999998</c:v>
                </c:pt>
                <c:pt idx="5">
                  <c:v>426.88387999999998</c:v>
                </c:pt>
                <c:pt idx="6">
                  <c:v>396.8442</c:v>
                </c:pt>
                <c:pt idx="7">
                  <c:v>378.73576000000003</c:v>
                </c:pt>
                <c:pt idx="8">
                  <c:v>345.25844999999998</c:v>
                </c:pt>
              </c:numCache>
            </c:numRef>
          </c:yVal>
          <c:smooth val="1"/>
        </c:ser>
        <c:axId val="45234816"/>
        <c:axId val="45241088"/>
      </c:scatterChart>
      <c:scatterChart>
        <c:scatterStyle val="smoothMarker"/>
        <c:ser>
          <c:idx val="1"/>
          <c:order val="1"/>
          <c:tx>
            <c:v>Eff1350</c:v>
          </c:tx>
          <c:xVal>
            <c:numRef>
              <c:f>Test!$E$58:$E$66</c:f>
              <c:numCache>
                <c:formatCode>0.0000</c:formatCode>
                <c:ptCount val="9"/>
                <c:pt idx="0">
                  <c:v>3.5549999999999998E-2</c:v>
                </c:pt>
                <c:pt idx="1">
                  <c:v>8.4970000000000004E-2</c:v>
                </c:pt>
                <c:pt idx="2">
                  <c:v>0.13419</c:v>
                </c:pt>
                <c:pt idx="3">
                  <c:v>0.20354</c:v>
                </c:pt>
                <c:pt idx="4">
                  <c:v>0.28195999999999999</c:v>
                </c:pt>
                <c:pt idx="5">
                  <c:v>0.33681</c:v>
                </c:pt>
                <c:pt idx="6">
                  <c:v>0.37575999999999998</c:v>
                </c:pt>
                <c:pt idx="7">
                  <c:v>0.39692</c:v>
                </c:pt>
                <c:pt idx="8">
                  <c:v>0.43525000000000003</c:v>
                </c:pt>
              </c:numCache>
            </c:numRef>
          </c:xVal>
          <c:yVal>
            <c:numRef>
              <c:f>Test!$H$58:$H$66</c:f>
              <c:numCache>
                <c:formatCode>0.0000</c:formatCode>
                <c:ptCount val="9"/>
                <c:pt idx="0">
                  <c:v>0.13378999999999999</c:v>
                </c:pt>
                <c:pt idx="1">
                  <c:v>0.22289999999999999</c:v>
                </c:pt>
                <c:pt idx="2">
                  <c:v>0.29097000000000001</c:v>
                </c:pt>
                <c:pt idx="3">
                  <c:v>0.35375000000000001</c:v>
                </c:pt>
                <c:pt idx="4">
                  <c:v>0.39628999999999998</c:v>
                </c:pt>
                <c:pt idx="5">
                  <c:v>0.41315000000000002</c:v>
                </c:pt>
                <c:pt idx="6">
                  <c:v>0.41831000000000002</c:v>
                </c:pt>
                <c:pt idx="7">
                  <c:v>0.41894999999999999</c:v>
                </c:pt>
                <c:pt idx="8">
                  <c:v>0.41682000000000002</c:v>
                </c:pt>
              </c:numCache>
            </c:numRef>
          </c:yVal>
          <c:smooth val="1"/>
        </c:ser>
        <c:ser>
          <c:idx val="5"/>
          <c:order val="5"/>
          <c:tx>
            <c:v>Eff1480</c:v>
          </c:tx>
          <c:xVal>
            <c:numRef>
              <c:f>Test!$E$47:$E$55</c:f>
              <c:numCache>
                <c:formatCode>0.0000</c:formatCode>
                <c:ptCount val="9"/>
                <c:pt idx="0">
                  <c:v>3.6400000000000002E-2</c:v>
                </c:pt>
                <c:pt idx="1">
                  <c:v>9.3590000000000007E-2</c:v>
                </c:pt>
                <c:pt idx="2">
                  <c:v>0.15401000000000001</c:v>
                </c:pt>
                <c:pt idx="3">
                  <c:v>0.22814999999999999</c:v>
                </c:pt>
                <c:pt idx="4">
                  <c:v>0.30764000000000002</c:v>
                </c:pt>
                <c:pt idx="5">
                  <c:v>0.36774000000000001</c:v>
                </c:pt>
                <c:pt idx="6">
                  <c:v>0.40733000000000003</c:v>
                </c:pt>
                <c:pt idx="7">
                  <c:v>0.43331999999999998</c:v>
                </c:pt>
                <c:pt idx="8">
                  <c:v>0.47538999999999998</c:v>
                </c:pt>
              </c:numCache>
            </c:numRef>
          </c:xVal>
          <c:yVal>
            <c:numRef>
              <c:f>Test!$H$47:$H$55</c:f>
              <c:numCache>
                <c:formatCode>0.0000</c:formatCode>
                <c:ptCount val="9"/>
                <c:pt idx="0">
                  <c:v>0.13016</c:v>
                </c:pt>
                <c:pt idx="1">
                  <c:v>0.22874</c:v>
                </c:pt>
                <c:pt idx="2">
                  <c:v>0.30635000000000001</c:v>
                </c:pt>
                <c:pt idx="3">
                  <c:v>0.36454999999999999</c:v>
                </c:pt>
                <c:pt idx="4">
                  <c:v>0.40212999999999999</c:v>
                </c:pt>
                <c:pt idx="5">
                  <c:v>0.41855999999999999</c:v>
                </c:pt>
                <c:pt idx="6">
                  <c:v>0.42370999999999998</c:v>
                </c:pt>
                <c:pt idx="7">
                  <c:v>0.42470000000000002</c:v>
                </c:pt>
                <c:pt idx="8">
                  <c:v>0.42254999999999998</c:v>
                </c:pt>
              </c:numCache>
            </c:numRef>
          </c:yVal>
          <c:smooth val="1"/>
        </c:ser>
        <c:ser>
          <c:idx val="6"/>
          <c:order val="6"/>
          <c:tx>
            <c:v>Eff1600</c:v>
          </c:tx>
          <c:xVal>
            <c:numRef>
              <c:f>Test!$E$36:$E$44</c:f>
              <c:numCache>
                <c:formatCode>0.0000</c:formatCode>
                <c:ptCount val="9"/>
                <c:pt idx="0">
                  <c:v>3.678E-2</c:v>
                </c:pt>
                <c:pt idx="1">
                  <c:v>9.8040000000000002E-2</c:v>
                </c:pt>
                <c:pt idx="2">
                  <c:v>0.16993</c:v>
                </c:pt>
                <c:pt idx="3">
                  <c:v>0.24807999999999999</c:v>
                </c:pt>
                <c:pt idx="4">
                  <c:v>0.33654000000000001</c:v>
                </c:pt>
                <c:pt idx="5">
                  <c:v>0.40061999999999998</c:v>
                </c:pt>
                <c:pt idx="6">
                  <c:v>0.44195000000000001</c:v>
                </c:pt>
                <c:pt idx="7">
                  <c:v>0.46749000000000002</c:v>
                </c:pt>
                <c:pt idx="8">
                  <c:v>0.51273000000000002</c:v>
                </c:pt>
              </c:numCache>
            </c:numRef>
          </c:xVal>
          <c:yVal>
            <c:numRef>
              <c:f>Test!$H$36:$H$44</c:f>
              <c:numCache>
                <c:formatCode>0.0000</c:formatCode>
                <c:ptCount val="9"/>
                <c:pt idx="0">
                  <c:v>0.12531</c:v>
                </c:pt>
                <c:pt idx="1">
                  <c:v>0.22983000000000001</c:v>
                </c:pt>
                <c:pt idx="2">
                  <c:v>0.31473000000000001</c:v>
                </c:pt>
                <c:pt idx="3">
                  <c:v>0.37125999999999998</c:v>
                </c:pt>
                <c:pt idx="4">
                  <c:v>0.40833000000000003</c:v>
                </c:pt>
                <c:pt idx="5">
                  <c:v>0.42352000000000001</c:v>
                </c:pt>
                <c:pt idx="6">
                  <c:v>0.42777999999999999</c:v>
                </c:pt>
                <c:pt idx="7">
                  <c:v>0.42853999999999998</c:v>
                </c:pt>
                <c:pt idx="8">
                  <c:v>0.42615999999999998</c:v>
                </c:pt>
              </c:numCache>
            </c:numRef>
          </c:yVal>
          <c:smooth val="1"/>
        </c:ser>
        <c:ser>
          <c:idx val="7"/>
          <c:order val="7"/>
          <c:tx>
            <c:v>Eff2000</c:v>
          </c:tx>
          <c:xVal>
            <c:numRef>
              <c:f>Test!$E$3:$E$11</c:f>
              <c:numCache>
                <c:formatCode>0.0000</c:formatCode>
                <c:ptCount val="9"/>
                <c:pt idx="0">
                  <c:v>4.0689999999999997E-2</c:v>
                </c:pt>
                <c:pt idx="1">
                  <c:v>0.12642</c:v>
                </c:pt>
                <c:pt idx="2">
                  <c:v>0.21809999999999999</c:v>
                </c:pt>
                <c:pt idx="3">
                  <c:v>0.31341000000000002</c:v>
                </c:pt>
                <c:pt idx="4">
                  <c:v>0.41699000000000003</c:v>
                </c:pt>
                <c:pt idx="5">
                  <c:v>0.47715999999999997</c:v>
                </c:pt>
                <c:pt idx="6">
                  <c:v>0.53813999999999995</c:v>
                </c:pt>
                <c:pt idx="7">
                  <c:v>0.57665999999999995</c:v>
                </c:pt>
                <c:pt idx="8">
                  <c:v>0.63344999999999996</c:v>
                </c:pt>
              </c:numCache>
            </c:numRef>
          </c:xVal>
          <c:yVal>
            <c:numRef>
              <c:f>Test!$H$3:$H$11</c:f>
              <c:numCache>
                <c:formatCode>0.0000</c:formatCode>
                <c:ptCount val="9"/>
                <c:pt idx="0">
                  <c:v>0.11709</c:v>
                </c:pt>
                <c:pt idx="1">
                  <c:v>0.24457999999999999</c:v>
                </c:pt>
                <c:pt idx="2">
                  <c:v>0.33039000000000002</c:v>
                </c:pt>
                <c:pt idx="3">
                  <c:v>0.38535000000000003</c:v>
                </c:pt>
                <c:pt idx="4">
                  <c:v>0.41781000000000001</c:v>
                </c:pt>
                <c:pt idx="5">
                  <c:v>0.42951</c:v>
                </c:pt>
                <c:pt idx="6">
                  <c:v>0.43580000000000002</c:v>
                </c:pt>
                <c:pt idx="7">
                  <c:v>0.43745000000000001</c:v>
                </c:pt>
                <c:pt idx="8">
                  <c:v>0.43541000000000002</c:v>
                </c:pt>
              </c:numCache>
            </c:numRef>
          </c:yVal>
          <c:smooth val="1"/>
        </c:ser>
        <c:ser>
          <c:idx val="9"/>
          <c:order val="9"/>
          <c:tx>
            <c:v>Eff1900</c:v>
          </c:tx>
          <c:xVal>
            <c:numRef>
              <c:f>Test!$E$14:$E$22</c:f>
              <c:numCache>
                <c:formatCode>0.0000</c:formatCode>
                <c:ptCount val="9"/>
                <c:pt idx="0">
                  <c:v>3.9140000000000001E-2</c:v>
                </c:pt>
                <c:pt idx="1">
                  <c:v>0.12626000000000001</c:v>
                </c:pt>
                <c:pt idx="2">
                  <c:v>0.20105999999999999</c:v>
                </c:pt>
                <c:pt idx="3">
                  <c:v>0.29546</c:v>
                </c:pt>
                <c:pt idx="4">
                  <c:v>0.39839999999999998</c:v>
                </c:pt>
                <c:pt idx="5">
                  <c:v>0.47099000000000002</c:v>
                </c:pt>
                <c:pt idx="6">
                  <c:v>0.52264999999999995</c:v>
                </c:pt>
                <c:pt idx="7">
                  <c:v>0.54890000000000005</c:v>
                </c:pt>
                <c:pt idx="8">
                  <c:v>0.60319</c:v>
                </c:pt>
              </c:numCache>
            </c:numRef>
          </c:xVal>
          <c:yVal>
            <c:numRef>
              <c:f>Test!$H$14:$H$22</c:f>
              <c:numCache>
                <c:formatCode>0.0000</c:formatCode>
                <c:ptCount val="9"/>
                <c:pt idx="0">
                  <c:v>0.11731999999999999</c:v>
                </c:pt>
                <c:pt idx="1">
                  <c:v>0.24970000000000001</c:v>
                </c:pt>
                <c:pt idx="2">
                  <c:v>0.32353999999999999</c:v>
                </c:pt>
                <c:pt idx="3">
                  <c:v>0.38191999999999998</c:v>
                </c:pt>
                <c:pt idx="4">
                  <c:v>0.41689999999999999</c:v>
                </c:pt>
                <c:pt idx="5">
                  <c:v>0.43013000000000001</c:v>
                </c:pt>
                <c:pt idx="6">
                  <c:v>0.43415999999999999</c:v>
                </c:pt>
                <c:pt idx="7">
                  <c:v>0.43530999999999997</c:v>
                </c:pt>
                <c:pt idx="8">
                  <c:v>0.43297999999999998</c:v>
                </c:pt>
              </c:numCache>
            </c:numRef>
          </c:yVal>
          <c:smooth val="1"/>
        </c:ser>
        <c:ser>
          <c:idx val="11"/>
          <c:order val="11"/>
          <c:tx>
            <c:v>Eff1760</c:v>
          </c:tx>
          <c:xVal>
            <c:numRef>
              <c:f>Test!$E$25:$E$33</c:f>
              <c:numCache>
                <c:formatCode>0.0000</c:formatCode>
                <c:ptCount val="9"/>
                <c:pt idx="0">
                  <c:v>3.823E-2</c:v>
                </c:pt>
                <c:pt idx="1">
                  <c:v>0.11194</c:v>
                </c:pt>
                <c:pt idx="2">
                  <c:v>0.18984999999999999</c:v>
                </c:pt>
                <c:pt idx="3">
                  <c:v>0.27872999999999998</c:v>
                </c:pt>
                <c:pt idx="4">
                  <c:v>0.37064000000000002</c:v>
                </c:pt>
                <c:pt idx="5">
                  <c:v>0.43074000000000001</c:v>
                </c:pt>
                <c:pt idx="6">
                  <c:v>0.48293000000000003</c:v>
                </c:pt>
                <c:pt idx="7">
                  <c:v>0.51114999999999999</c:v>
                </c:pt>
                <c:pt idx="8">
                  <c:v>0.5615</c:v>
                </c:pt>
              </c:numCache>
            </c:numRef>
          </c:xVal>
          <c:yVal>
            <c:numRef>
              <c:f>Test!$H$25:$H$33</c:f>
              <c:numCache>
                <c:formatCode>0.0000</c:formatCode>
                <c:ptCount val="9"/>
                <c:pt idx="0">
                  <c:v>0.12223000000000001</c:v>
                </c:pt>
                <c:pt idx="1">
                  <c:v>0.24005000000000001</c:v>
                </c:pt>
                <c:pt idx="2">
                  <c:v>0.32351000000000002</c:v>
                </c:pt>
                <c:pt idx="3">
                  <c:v>0.38123000000000001</c:v>
                </c:pt>
                <c:pt idx="4">
                  <c:v>0.41442000000000001</c:v>
                </c:pt>
                <c:pt idx="5">
                  <c:v>0.42636000000000002</c:v>
                </c:pt>
                <c:pt idx="6">
                  <c:v>0.43228</c:v>
                </c:pt>
                <c:pt idx="7">
                  <c:v>0.43247000000000002</c:v>
                </c:pt>
                <c:pt idx="8">
                  <c:v>0.43047000000000002</c:v>
                </c:pt>
              </c:numCache>
            </c:numRef>
          </c:yVal>
          <c:smooth val="1"/>
        </c:ser>
        <c:axId val="45245184"/>
        <c:axId val="45243008"/>
      </c:scatterChart>
      <c:valAx>
        <c:axId val="452348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 [m^3/s]</a:t>
                </a:r>
              </a:p>
            </c:rich>
          </c:tx>
          <c:layout/>
        </c:title>
        <c:numFmt formatCode="0.0000" sourceLinked="1"/>
        <c:tickLblPos val="nextTo"/>
        <c:crossAx val="45241088"/>
        <c:crosses val="autoZero"/>
        <c:crossBetween val="midCat"/>
      </c:valAx>
      <c:valAx>
        <c:axId val="45241088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nb-NO"/>
                  <a:t>P_stat [Pa]</a:t>
                </a:r>
              </a:p>
            </c:rich>
          </c:tx>
          <c:layout/>
        </c:title>
        <c:numFmt formatCode="0.0000" sourceLinked="1"/>
        <c:tickLblPos val="nextTo"/>
        <c:crossAx val="45234816"/>
        <c:crosses val="autoZero"/>
        <c:crossBetween val="midCat"/>
      </c:valAx>
      <c:valAx>
        <c:axId val="45243008"/>
        <c:scaling>
          <c:orientation val="minMax"/>
        </c:scaling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Virkningsgrad</a:t>
                </a:r>
              </a:p>
            </c:rich>
          </c:tx>
          <c:layout/>
        </c:title>
        <c:numFmt formatCode="0.0000" sourceLinked="1"/>
        <c:tickLblPos val="nextTo"/>
        <c:crossAx val="45245184"/>
        <c:crosses val="max"/>
        <c:crossBetween val="midCat"/>
      </c:valAx>
      <c:valAx>
        <c:axId val="45245184"/>
        <c:scaling>
          <c:orientation val="minMax"/>
        </c:scaling>
        <c:delete val="1"/>
        <c:axPos val="b"/>
        <c:numFmt formatCode="0.0000" sourceLinked="1"/>
        <c:tickLblPos val="none"/>
        <c:crossAx val="452430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90531860543395859"/>
          <c:y val="2.7598748193345332E-2"/>
          <c:w val="7.5798625093185523E-2"/>
          <c:h val="0.36951031338377727"/>
        </c:manualLayout>
      </c:layout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b-NO"/>
  <c:chart>
    <c:plotArea>
      <c:layout>
        <c:manualLayout>
          <c:layoutTarget val="inner"/>
          <c:xMode val="edge"/>
          <c:yMode val="edge"/>
          <c:x val="5.1583463234608433E-2"/>
          <c:y val="4.2714000603225534E-2"/>
          <c:w val="0.799290615817004"/>
          <c:h val="0.85791887261036714"/>
        </c:manualLayout>
      </c:layout>
      <c:scatterChart>
        <c:scatterStyle val="smoothMarker"/>
        <c:ser>
          <c:idx val="0"/>
          <c:order val="0"/>
          <c:tx>
            <c:v>Trykk1350</c:v>
          </c:tx>
          <c:xVal>
            <c:numRef>
              <c:f>Test!$E$3:$E$11</c:f>
              <c:numCache>
                <c:formatCode>0.0000</c:formatCode>
                <c:ptCount val="9"/>
                <c:pt idx="0">
                  <c:v>4.0689999999999997E-2</c:v>
                </c:pt>
                <c:pt idx="1">
                  <c:v>0.12642</c:v>
                </c:pt>
                <c:pt idx="2">
                  <c:v>0.21809999999999999</c:v>
                </c:pt>
                <c:pt idx="3">
                  <c:v>0.31341000000000002</c:v>
                </c:pt>
                <c:pt idx="4">
                  <c:v>0.41699000000000003</c:v>
                </c:pt>
                <c:pt idx="5">
                  <c:v>0.47715999999999997</c:v>
                </c:pt>
                <c:pt idx="6">
                  <c:v>0.53813999999999995</c:v>
                </c:pt>
                <c:pt idx="7">
                  <c:v>0.57665999999999995</c:v>
                </c:pt>
                <c:pt idx="8">
                  <c:v>0.63344999999999996</c:v>
                </c:pt>
              </c:numCache>
            </c:numRef>
          </c:xVal>
          <c:yVal>
            <c:numRef>
              <c:f>Test!$D$3:$D$11</c:f>
              <c:numCache>
                <c:formatCode>0.0000</c:formatCode>
                <c:ptCount val="9"/>
                <c:pt idx="0">
                  <c:v>816.05241000000001</c:v>
                </c:pt>
                <c:pt idx="1">
                  <c:v>738.98586</c:v>
                </c:pt>
                <c:pt idx="2">
                  <c:v>697.09603000000004</c:v>
                </c:pt>
                <c:pt idx="3">
                  <c:v>655.25112000000001</c:v>
                </c:pt>
                <c:pt idx="4">
                  <c:v>595.73672999999997</c:v>
                </c:pt>
                <c:pt idx="5">
                  <c:v>557.01651000000004</c:v>
                </c:pt>
                <c:pt idx="6">
                  <c:v>514.19123999999999</c:v>
                </c:pt>
                <c:pt idx="7">
                  <c:v>486.11583000000002</c:v>
                </c:pt>
                <c:pt idx="8">
                  <c:v>442.61703999999997</c:v>
                </c:pt>
              </c:numCache>
            </c:numRef>
          </c:yVal>
          <c:smooth val="1"/>
        </c:ser>
        <c:ser>
          <c:idx val="2"/>
          <c:order val="2"/>
          <c:tx>
            <c:v>Trykk1480</c:v>
          </c:tx>
          <c:xVal>
            <c:numRef>
              <c:f>Test!$I$13:$I$21</c:f>
              <c:numCache>
                <c:formatCode>0.0000</c:formatCode>
                <c:ptCount val="9"/>
                <c:pt idx="1">
                  <c:v>3.8408738454382078E-2</c:v>
                </c:pt>
                <c:pt idx="2">
                  <c:v>0.1247057100362422</c:v>
                </c:pt>
                <c:pt idx="3">
                  <c:v>0.19949322431473426</c:v>
                </c:pt>
                <c:pt idx="4">
                  <c:v>0.29486174569274043</c:v>
                </c:pt>
                <c:pt idx="5">
                  <c:v>0.39974997882190133</c:v>
                </c:pt>
                <c:pt idx="6">
                  <c:v>0.47401016575023908</c:v>
                </c:pt>
                <c:pt idx="7">
                  <c:v>0.5267325096227401</c:v>
                </c:pt>
                <c:pt idx="8">
                  <c:v>0.55345551858982689</c:v>
                </c:pt>
              </c:numCache>
            </c:numRef>
          </c:xVal>
          <c:yVal>
            <c:numRef>
              <c:f>Test!$J$13:$J$21</c:f>
              <c:numCache>
                <c:formatCode>0.0000</c:formatCode>
                <c:ptCount val="9"/>
                <c:pt idx="1">
                  <c:v>697.47874940712859</c:v>
                </c:pt>
                <c:pt idx="2">
                  <c:v>636.44584928895995</c:v>
                </c:pt>
                <c:pt idx="3">
                  <c:v>613.61569696722268</c:v>
                </c:pt>
                <c:pt idx="4">
                  <c:v>584.38348612990887</c:v>
                </c:pt>
                <c:pt idx="5">
                  <c:v>537.92357334006238</c:v>
                </c:pt>
                <c:pt idx="6">
                  <c:v>497.27161575936378</c:v>
                </c:pt>
                <c:pt idx="7">
                  <c:v>463.43867503686766</c:v>
                </c:pt>
                <c:pt idx="8">
                  <c:v>446.0981264079897</c:v>
                </c:pt>
              </c:numCache>
            </c:numRef>
          </c:yVal>
          <c:smooth val="1"/>
        </c:ser>
        <c:ser>
          <c:idx val="3"/>
          <c:order val="3"/>
          <c:tx>
            <c:v>Trykk1600</c:v>
          </c:tx>
          <c:xVal>
            <c:numRef>
              <c:f>Test!$I$23:$I$31</c:f>
              <c:numCache>
                <c:formatCode>0.0000</c:formatCode>
                <c:ptCount val="9"/>
                <c:pt idx="0">
                  <c:v>0.1261054532699519</c:v>
                </c:pt>
                <c:pt idx="2">
                  <c:v>3.7694401322472662E-2</c:v>
                </c:pt>
                <c:pt idx="3">
                  <c:v>0.11088017203562871</c:v>
                </c:pt>
                <c:pt idx="4">
                  <c:v>0.18875105916009391</c:v>
                </c:pt>
                <c:pt idx="5">
                  <c:v>0.27828041427366013</c:v>
                </c:pt>
                <c:pt idx="6">
                  <c:v>0.3713937668619568</c:v>
                </c:pt>
                <c:pt idx="7">
                  <c:v>0.43235572316372928</c:v>
                </c:pt>
                <c:pt idx="8">
                  <c:v>0.48526447504458264</c:v>
                </c:pt>
              </c:numCache>
            </c:numRef>
          </c:xVal>
          <c:yVal>
            <c:numRef>
              <c:f>Test!$J$23:$J$31</c:f>
              <c:numCache>
                <c:formatCode>0.0000</c:formatCode>
                <c:ptCount val="9"/>
                <c:pt idx="0">
                  <c:v>636.330821561996</c:v>
                </c:pt>
                <c:pt idx="2">
                  <c:v>598.26708297142761</c:v>
                </c:pt>
                <c:pt idx="3">
                  <c:v>547.62171332960111</c:v>
                </c:pt>
                <c:pt idx="4">
                  <c:v>525.24027871445367</c:v>
                </c:pt>
                <c:pt idx="5">
                  <c:v>499.39629197419788</c:v>
                </c:pt>
                <c:pt idx="6">
                  <c:v>461.53550920182306</c:v>
                </c:pt>
                <c:pt idx="7">
                  <c:v>430.09240378941502</c:v>
                </c:pt>
                <c:pt idx="8">
                  <c:v>400.69014884296547</c:v>
                </c:pt>
              </c:numCache>
            </c:numRef>
          </c:yVal>
          <c:smooth val="1"/>
        </c:ser>
        <c:ser>
          <c:idx val="4"/>
          <c:order val="4"/>
          <c:tx>
            <c:v>Trykk2000</c:v>
          </c:tx>
          <c:xVal>
            <c:numRef>
              <c:f>Test!$I$33:$I$41</c:f>
              <c:numCache>
                <c:formatCode>0.0000</c:formatCode>
                <c:ptCount val="9"/>
                <c:pt idx="0">
                  <c:v>0.5646140324549771</c:v>
                </c:pt>
                <c:pt idx="1">
                  <c:v>0.43221407986271598</c:v>
                </c:pt>
                <c:pt idx="3">
                  <c:v>3.6383756559430602E-2</c:v>
                </c:pt>
                <c:pt idx="4">
                  <c:v>9.7281396025738945E-2</c:v>
                </c:pt>
                <c:pt idx="5">
                  <c:v>0.1690650179320361</c:v>
                </c:pt>
                <c:pt idx="6">
                  <c:v>0.24752219172379972</c:v>
                </c:pt>
                <c:pt idx="7">
                  <c:v>0.33666234099057635</c:v>
                </c:pt>
                <c:pt idx="8">
                  <c:v>0.40132682432788425</c:v>
                </c:pt>
              </c:numCache>
            </c:numRef>
          </c:xVal>
          <c:yVal>
            <c:numRef>
              <c:f>Test!$J$33:$J$41</c:f>
              <c:numCache>
                <c:formatCode>0.0000</c:formatCode>
                <c:ptCount val="9"/>
                <c:pt idx="0">
                  <c:v>349.09861866964644</c:v>
                </c:pt>
                <c:pt idx="1">
                  <c:v>430.08722849820424</c:v>
                </c:pt>
                <c:pt idx="3">
                  <c:v>495.48174739682548</c:v>
                </c:pt>
                <c:pt idx="4">
                  <c:v>454.01920381554174</c:v>
                </c:pt>
                <c:pt idx="5">
                  <c:v>434.63536027249404</c:v>
                </c:pt>
                <c:pt idx="6">
                  <c:v>414.54805958288762</c:v>
                </c:pt>
                <c:pt idx="7">
                  <c:v>382.02247871426351</c:v>
                </c:pt>
                <c:pt idx="8">
                  <c:v>352.84887360530342</c:v>
                </c:pt>
              </c:numCache>
            </c:numRef>
          </c:yVal>
          <c:smooth val="1"/>
        </c:ser>
        <c:axId val="45271680"/>
        <c:axId val="45314816"/>
      </c:scatterChart>
      <c:scatterChart>
        <c:scatterStyle val="smoothMarker"/>
        <c:ser>
          <c:idx val="1"/>
          <c:order val="1"/>
          <c:tx>
            <c:v>Eff1350</c:v>
          </c:tx>
          <c:xVal>
            <c:numRef>
              <c:f>Test!$I$3:$I$11</c:f>
              <c:numCache>
                <c:formatCode>0.0000</c:formatCode>
                <c:ptCount val="9"/>
                <c:pt idx="0">
                  <c:v>3.9572471813099204E-2</c:v>
                </c:pt>
                <c:pt idx="1">
                  <c:v>0.12388251991920826</c:v>
                </c:pt>
                <c:pt idx="2">
                  <c:v>0.21525117544684616</c:v>
                </c:pt>
                <c:pt idx="3">
                  <c:v>0.31153414078603664</c:v>
                </c:pt>
                <c:pt idx="4">
                  <c:v>0.4175585874407251</c:v>
                </c:pt>
                <c:pt idx="5">
                  <c:v>0.47937011674846408</c:v>
                </c:pt>
                <c:pt idx="6">
                  <c:v>0.54202124884650893</c:v>
                </c:pt>
                <c:pt idx="7">
                  <c:v>0.58167848640087982</c:v>
                </c:pt>
                <c:pt idx="8">
                  <c:v>0.63932231935075845</c:v>
                </c:pt>
              </c:numCache>
            </c:numRef>
          </c:xVal>
          <c:yVal>
            <c:numRef>
              <c:f>Test!$J$3:$J$11</c:f>
              <c:numCache>
                <c:formatCode>0.0000</c:formatCode>
                <c:ptCount val="9"/>
                <c:pt idx="0">
                  <c:v>771.84310491921565</c:v>
                </c:pt>
                <c:pt idx="1">
                  <c:v>709.61799195297431</c:v>
                </c:pt>
                <c:pt idx="2">
                  <c:v>679.00401409386723</c:v>
                </c:pt>
                <c:pt idx="3">
                  <c:v>647.43081818294013</c:v>
                </c:pt>
                <c:pt idx="4">
                  <c:v>597.36247334886673</c:v>
                </c:pt>
                <c:pt idx="5">
                  <c:v>562.1884546959443</c:v>
                </c:pt>
                <c:pt idx="6">
                  <c:v>521.63503160056564</c:v>
                </c:pt>
                <c:pt idx="7">
                  <c:v>494.61366601992847</c:v>
                </c:pt>
                <c:pt idx="8">
                  <c:v>450.86153076058963</c:v>
                </c:pt>
              </c:numCache>
            </c:numRef>
          </c:yVal>
          <c:smooth val="1"/>
        </c:ser>
        <c:ser>
          <c:idx val="5"/>
          <c:order val="5"/>
          <c:tx>
            <c:v>Eff1480</c:v>
          </c:tx>
          <c:xVal>
            <c:numRef>
              <c:f>Test!$E$13:$E$21</c:f>
              <c:numCache>
                <c:formatCode>0.0000</c:formatCode>
                <c:ptCount val="9"/>
                <c:pt idx="1">
                  <c:v>3.9140000000000001E-2</c:v>
                </c:pt>
                <c:pt idx="2">
                  <c:v>0.12626000000000001</c:v>
                </c:pt>
                <c:pt idx="3">
                  <c:v>0.20105999999999999</c:v>
                </c:pt>
                <c:pt idx="4">
                  <c:v>0.29546</c:v>
                </c:pt>
                <c:pt idx="5">
                  <c:v>0.39839999999999998</c:v>
                </c:pt>
                <c:pt idx="6">
                  <c:v>0.47099000000000002</c:v>
                </c:pt>
                <c:pt idx="7">
                  <c:v>0.52264999999999995</c:v>
                </c:pt>
                <c:pt idx="8">
                  <c:v>0.54890000000000005</c:v>
                </c:pt>
              </c:numCache>
            </c:numRef>
          </c:xVal>
          <c:yVal>
            <c:numRef>
              <c:f>Test!$H$13:$H$21</c:f>
              <c:numCache>
                <c:formatCode>0.0000</c:formatCode>
                <c:ptCount val="9"/>
                <c:pt idx="1">
                  <c:v>0.11731999999999999</c:v>
                </c:pt>
                <c:pt idx="2">
                  <c:v>0.24970000000000001</c:v>
                </c:pt>
                <c:pt idx="3">
                  <c:v>0.32353999999999999</c:v>
                </c:pt>
                <c:pt idx="4">
                  <c:v>0.38191999999999998</c:v>
                </c:pt>
                <c:pt idx="5">
                  <c:v>0.41689999999999999</c:v>
                </c:pt>
                <c:pt idx="6">
                  <c:v>0.43013000000000001</c:v>
                </c:pt>
                <c:pt idx="7">
                  <c:v>0.43415999999999999</c:v>
                </c:pt>
                <c:pt idx="8">
                  <c:v>0.43530999999999997</c:v>
                </c:pt>
              </c:numCache>
            </c:numRef>
          </c:yVal>
          <c:smooth val="1"/>
        </c:ser>
        <c:ser>
          <c:idx val="6"/>
          <c:order val="6"/>
          <c:tx>
            <c:v>Eff1600</c:v>
          </c:tx>
          <c:xVal>
            <c:numRef>
              <c:f>Test!$E$23:$E$31</c:f>
              <c:numCache>
                <c:formatCode>0.0000</c:formatCode>
                <c:ptCount val="9"/>
                <c:pt idx="0">
                  <c:v>0.12764</c:v>
                </c:pt>
                <c:pt idx="2">
                  <c:v>3.823E-2</c:v>
                </c:pt>
                <c:pt idx="3">
                  <c:v>0.11194</c:v>
                </c:pt>
                <c:pt idx="4">
                  <c:v>0.18984999999999999</c:v>
                </c:pt>
                <c:pt idx="5">
                  <c:v>0.27872999999999998</c:v>
                </c:pt>
                <c:pt idx="6">
                  <c:v>0.37064000000000002</c:v>
                </c:pt>
                <c:pt idx="7">
                  <c:v>0.43074000000000001</c:v>
                </c:pt>
                <c:pt idx="8">
                  <c:v>0.48293000000000003</c:v>
                </c:pt>
              </c:numCache>
            </c:numRef>
          </c:xVal>
          <c:yVal>
            <c:numRef>
              <c:f>Test!$H$23:$H$31</c:f>
              <c:numCache>
                <c:formatCode>0.0000</c:formatCode>
                <c:ptCount val="9"/>
                <c:pt idx="0">
                  <c:v>0.24965999999999999</c:v>
                </c:pt>
                <c:pt idx="2">
                  <c:v>0.12223000000000001</c:v>
                </c:pt>
                <c:pt idx="3">
                  <c:v>0.24005000000000001</c:v>
                </c:pt>
                <c:pt idx="4">
                  <c:v>0.32351000000000002</c:v>
                </c:pt>
                <c:pt idx="5">
                  <c:v>0.38123000000000001</c:v>
                </c:pt>
                <c:pt idx="6">
                  <c:v>0.41442000000000001</c:v>
                </c:pt>
                <c:pt idx="7">
                  <c:v>0.42636000000000002</c:v>
                </c:pt>
                <c:pt idx="8">
                  <c:v>0.43228</c:v>
                </c:pt>
              </c:numCache>
            </c:numRef>
          </c:yVal>
          <c:smooth val="1"/>
        </c:ser>
        <c:ser>
          <c:idx val="7"/>
          <c:order val="7"/>
          <c:tx>
            <c:v>Eff2000</c:v>
          </c:tx>
          <c:xVal>
            <c:numRef>
              <c:f>Test!$E$33:$E$41</c:f>
              <c:numCache>
                <c:formatCode>0.0000</c:formatCode>
                <c:ptCount val="9"/>
                <c:pt idx="0">
                  <c:v>0.5615</c:v>
                </c:pt>
                <c:pt idx="1">
                  <c:v>0.43048999999999998</c:v>
                </c:pt>
                <c:pt idx="3">
                  <c:v>3.678E-2</c:v>
                </c:pt>
                <c:pt idx="4">
                  <c:v>9.8040000000000002E-2</c:v>
                </c:pt>
                <c:pt idx="5">
                  <c:v>0.16993</c:v>
                </c:pt>
                <c:pt idx="6">
                  <c:v>0.24807999999999999</c:v>
                </c:pt>
                <c:pt idx="7">
                  <c:v>0.33654000000000001</c:v>
                </c:pt>
                <c:pt idx="8">
                  <c:v>0.40061999999999998</c:v>
                </c:pt>
              </c:numCache>
            </c:numRef>
          </c:xVal>
          <c:yVal>
            <c:numRef>
              <c:f>Test!$H$33:$H$41</c:f>
              <c:numCache>
                <c:formatCode>0.0000</c:formatCode>
                <c:ptCount val="9"/>
                <c:pt idx="0">
                  <c:v>0.43047000000000002</c:v>
                </c:pt>
                <c:pt idx="1">
                  <c:v>0.42548000000000002</c:v>
                </c:pt>
                <c:pt idx="3">
                  <c:v>0.12531</c:v>
                </c:pt>
                <c:pt idx="4">
                  <c:v>0.22983000000000001</c:v>
                </c:pt>
                <c:pt idx="5">
                  <c:v>0.31473000000000001</c:v>
                </c:pt>
                <c:pt idx="6">
                  <c:v>0.37125999999999998</c:v>
                </c:pt>
                <c:pt idx="7">
                  <c:v>0.40833000000000003</c:v>
                </c:pt>
                <c:pt idx="8">
                  <c:v>0.42352000000000001</c:v>
                </c:pt>
              </c:numCache>
            </c:numRef>
          </c:yVal>
          <c:smooth val="1"/>
        </c:ser>
        <c:axId val="45318912"/>
        <c:axId val="45316736"/>
      </c:scatterChart>
      <c:valAx>
        <c:axId val="452716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 [m^3/s]</a:t>
                </a:r>
              </a:p>
            </c:rich>
          </c:tx>
        </c:title>
        <c:numFmt formatCode="0.0000" sourceLinked="1"/>
        <c:tickLblPos val="nextTo"/>
        <c:crossAx val="45314816"/>
        <c:crosses val="autoZero"/>
        <c:crossBetween val="midCat"/>
      </c:valAx>
      <c:valAx>
        <c:axId val="45314816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nb-NO"/>
                  <a:t>P_stat [Pa]</a:t>
                </a:r>
              </a:p>
            </c:rich>
          </c:tx>
        </c:title>
        <c:numFmt formatCode="0.0000" sourceLinked="1"/>
        <c:tickLblPos val="nextTo"/>
        <c:crossAx val="45271680"/>
        <c:crosses val="autoZero"/>
        <c:crossBetween val="midCat"/>
      </c:valAx>
      <c:valAx>
        <c:axId val="45316736"/>
        <c:scaling>
          <c:orientation val="minMax"/>
        </c:scaling>
        <c:delete val="1"/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Virkningsgrad</a:t>
                </a:r>
              </a:p>
            </c:rich>
          </c:tx>
        </c:title>
        <c:numFmt formatCode="0.0000" sourceLinked="1"/>
        <c:tickLblPos val="none"/>
        <c:crossAx val="45318912"/>
        <c:crosses val="max"/>
        <c:crossBetween val="midCat"/>
      </c:valAx>
      <c:valAx>
        <c:axId val="45318912"/>
        <c:scaling>
          <c:orientation val="minMax"/>
        </c:scaling>
        <c:delete val="1"/>
        <c:axPos val="b"/>
        <c:numFmt formatCode="0.0000" sourceLinked="1"/>
        <c:tickLblPos val="none"/>
        <c:crossAx val="453167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90531860543395859"/>
          <c:y val="2.7598748193345332E-2"/>
          <c:w val="7.5798625093185523E-2"/>
          <c:h val="0.25279735636751266"/>
        </c:manualLayout>
      </c:layout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599704</xdr:colOff>
      <xdr:row>27</xdr:row>
      <xdr:rowOff>149679</xdr:rowOff>
    </xdr:from>
    <xdr:to>
      <xdr:col>43</xdr:col>
      <xdr:colOff>513979</xdr:colOff>
      <xdr:row>66</xdr:row>
      <xdr:rowOff>178255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571500</xdr:colOff>
      <xdr:row>7</xdr:row>
      <xdr:rowOff>163286</xdr:rowOff>
    </xdr:from>
    <xdr:to>
      <xdr:col>50</xdr:col>
      <xdr:colOff>485775</xdr:colOff>
      <xdr:row>46</xdr:row>
      <xdr:rowOff>1362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69"/>
  <sheetViews>
    <sheetView zoomScale="55" zoomScaleNormal="55" workbookViewId="0">
      <selection activeCell="B46" sqref="B46"/>
    </sheetView>
  </sheetViews>
  <sheetFormatPr baseColWidth="10" defaultRowHeight="15"/>
  <cols>
    <col min="2" max="2" width="14.140625" bestFit="1" customWidth="1"/>
    <col min="7" max="7" width="12.7109375" customWidth="1"/>
  </cols>
  <sheetData>
    <row r="2" spans="1:21">
      <c r="A2" t="s">
        <v>17</v>
      </c>
      <c r="B2" t="s">
        <v>18</v>
      </c>
      <c r="C2" t="s">
        <v>0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t="s">
        <v>12</v>
      </c>
      <c r="J2" t="s">
        <v>13</v>
      </c>
      <c r="K2" t="s">
        <v>6</v>
      </c>
      <c r="L2" t="s">
        <v>7</v>
      </c>
      <c r="M2" t="s">
        <v>8</v>
      </c>
      <c r="N2" t="s">
        <v>19</v>
      </c>
      <c r="O2" t="s">
        <v>96</v>
      </c>
      <c r="P2" t="s">
        <v>97</v>
      </c>
      <c r="Q2" t="s">
        <v>98</v>
      </c>
      <c r="R2" t="s">
        <v>9</v>
      </c>
    </row>
    <row r="3" spans="1:21">
      <c r="A3" s="2">
        <v>23</v>
      </c>
      <c r="B3" s="2">
        <v>101000</v>
      </c>
      <c r="C3" s="2">
        <v>1.1880200000000001</v>
      </c>
      <c r="D3" s="2">
        <v>816.05241000000001</v>
      </c>
      <c r="E3" s="2">
        <v>4.0689999999999997E-2</v>
      </c>
      <c r="F3" s="2">
        <v>1.31671</v>
      </c>
      <c r="G3" s="2">
        <v>2056.4800799999998</v>
      </c>
      <c r="H3" s="2">
        <v>0.11709</v>
      </c>
      <c r="I3" s="2">
        <f>E3*2000/G3</f>
        <v>3.9572471813099204E-2</v>
      </c>
      <c r="J3" s="2">
        <f>D3*(2000/G3)^2</f>
        <v>771.84310491921565</v>
      </c>
      <c r="K3" s="2">
        <v>0.63539999999999996</v>
      </c>
      <c r="L3" s="2">
        <v>71.400000000000006</v>
      </c>
      <c r="M3" s="2">
        <v>75</v>
      </c>
      <c r="N3" s="2">
        <f t="shared" ref="N3:N66" si="0">(E3*C3*4*SQRT(1-(0.215/0.3)^4)/(K3*PI()*0.215^2))^2*C3/2</f>
        <v>1.9203773231057395</v>
      </c>
      <c r="O3">
        <v>6.7484596273291921E-3</v>
      </c>
      <c r="P3">
        <v>2.6930945848375452E-3</v>
      </c>
      <c r="Q3">
        <v>0.2041891567091087</v>
      </c>
      <c r="R3">
        <v>90</v>
      </c>
    </row>
    <row r="4" spans="1:21">
      <c r="A4" s="2">
        <v>23</v>
      </c>
      <c r="B4" s="2">
        <v>101000</v>
      </c>
      <c r="C4" s="2">
        <v>1.1956800000000001</v>
      </c>
      <c r="D4" s="2">
        <v>738.98586</v>
      </c>
      <c r="E4" s="2">
        <v>0.12642</v>
      </c>
      <c r="F4" s="2">
        <v>1.78714</v>
      </c>
      <c r="G4" s="2">
        <v>2040.9659099999999</v>
      </c>
      <c r="H4" s="2">
        <v>0.24457999999999999</v>
      </c>
      <c r="I4" s="2">
        <f t="shared" ref="I4:I12" si="1">E4*2000/G4</f>
        <v>0.12388251991920826</v>
      </c>
      <c r="J4" s="2">
        <f t="shared" ref="J4:J12" si="2">D4*(2000/G4)^2</f>
        <v>709.61799195297431</v>
      </c>
      <c r="K4" s="2">
        <v>0.61709999999999998</v>
      </c>
      <c r="L4" s="2">
        <v>7.2</v>
      </c>
      <c r="M4" s="2">
        <v>75</v>
      </c>
      <c r="N4" s="2">
        <f t="shared" si="0"/>
        <v>20.035478928878891</v>
      </c>
      <c r="O4">
        <v>5.2633944099378877E-3</v>
      </c>
      <c r="P4">
        <v>2.7822043321299636E-3</v>
      </c>
      <c r="Q4">
        <v>0.26078251518119494</v>
      </c>
      <c r="R4">
        <v>60</v>
      </c>
    </row>
    <row r="5" spans="1:21">
      <c r="A5" s="2">
        <v>20.72</v>
      </c>
      <c r="B5" s="2">
        <v>101000</v>
      </c>
      <c r="C5" s="2">
        <v>1.1973100000000001</v>
      </c>
      <c r="D5" s="2">
        <v>697.09603000000004</v>
      </c>
      <c r="E5" s="2">
        <v>0.21809999999999999</v>
      </c>
      <c r="F5" s="2">
        <v>2.1684000000000001</v>
      </c>
      <c r="G5" s="2">
        <v>2026.4697699999999</v>
      </c>
      <c r="H5" s="2">
        <v>0.33039000000000002</v>
      </c>
      <c r="I5" s="2">
        <f t="shared" si="1"/>
        <v>0.21525117544684616</v>
      </c>
      <c r="J5" s="2">
        <f t="shared" si="2"/>
        <v>679.00401409386723</v>
      </c>
      <c r="K5" s="2">
        <v>0.61219999999999997</v>
      </c>
      <c r="L5" s="2">
        <v>2.5</v>
      </c>
      <c r="M5" s="2">
        <v>75</v>
      </c>
      <c r="N5" s="2">
        <f t="shared" si="0"/>
        <v>60.838551348409709</v>
      </c>
      <c r="O5">
        <v>6.1120031055900614E-3</v>
      </c>
      <c r="P5">
        <v>2.8218086642599277E-3</v>
      </c>
      <c r="Q5">
        <v>0.2504538031341822</v>
      </c>
      <c r="R5">
        <v>50</v>
      </c>
    </row>
    <row r="6" spans="1:21">
      <c r="A6" s="2">
        <v>20.72</v>
      </c>
      <c r="B6" s="2">
        <v>101000</v>
      </c>
      <c r="C6" s="2">
        <v>1.1973100000000001</v>
      </c>
      <c r="D6" s="2">
        <v>655.25112000000001</v>
      </c>
      <c r="E6" s="2">
        <v>0.31341000000000002</v>
      </c>
      <c r="F6" s="2">
        <v>2.5292400000000002</v>
      </c>
      <c r="G6" s="2">
        <v>2012.0427199999999</v>
      </c>
      <c r="H6" s="2">
        <v>0.38535000000000003</v>
      </c>
      <c r="I6" s="2">
        <f t="shared" si="1"/>
        <v>0.31153414078603664</v>
      </c>
      <c r="J6" s="2">
        <f t="shared" si="2"/>
        <v>647.43081818294013</v>
      </c>
      <c r="K6" s="2">
        <v>0.60970000000000002</v>
      </c>
      <c r="L6" s="2">
        <v>1.4</v>
      </c>
      <c r="M6" s="2">
        <v>75</v>
      </c>
      <c r="N6" s="2">
        <f t="shared" si="0"/>
        <v>126.6623357576978</v>
      </c>
      <c r="O6">
        <v>4.5562204968944099E-3</v>
      </c>
      <c r="P6">
        <v>4.4257841155234652E-3</v>
      </c>
      <c r="Q6">
        <v>0.2141286709108717</v>
      </c>
      <c r="R6">
        <v>40</v>
      </c>
    </row>
    <row r="7" spans="1:21">
      <c r="A7" s="2">
        <v>20.72</v>
      </c>
      <c r="B7" s="2">
        <v>101000</v>
      </c>
      <c r="C7" s="2">
        <v>1.1973100000000001</v>
      </c>
      <c r="D7" s="2">
        <v>595.73672999999997</v>
      </c>
      <c r="E7" s="2">
        <v>0.41699000000000003</v>
      </c>
      <c r="F7" s="2">
        <v>2.8426999999999998</v>
      </c>
      <c r="G7" s="2">
        <v>1997.2766099999999</v>
      </c>
      <c r="H7" s="2">
        <v>0.41781000000000001</v>
      </c>
      <c r="I7" s="2">
        <f t="shared" si="1"/>
        <v>0.4175585874407251</v>
      </c>
      <c r="J7" s="2">
        <f t="shared" si="2"/>
        <v>597.36247334886673</v>
      </c>
      <c r="K7" s="2">
        <v>0.60809999999999997</v>
      </c>
      <c r="L7" s="2">
        <v>1.1000000000000001</v>
      </c>
      <c r="M7" s="2">
        <v>75</v>
      </c>
      <c r="N7" s="2">
        <f t="shared" si="0"/>
        <v>225.40080206652027</v>
      </c>
      <c r="O7">
        <v>4.2834534161490679E-3</v>
      </c>
      <c r="P7">
        <v>7.6832404332129968E-3</v>
      </c>
      <c r="Q7">
        <v>0.17828255142017629</v>
      </c>
      <c r="R7">
        <v>30</v>
      </c>
    </row>
    <row r="8" spans="1:21">
      <c r="A8" s="2">
        <v>20.72</v>
      </c>
      <c r="B8" s="2">
        <v>101000</v>
      </c>
      <c r="C8" s="2">
        <v>1.1973100000000001</v>
      </c>
      <c r="D8" s="2">
        <v>557.01651000000004</v>
      </c>
      <c r="E8" s="2">
        <v>0.47715999999999997</v>
      </c>
      <c r="F8" s="2">
        <v>2.9683000000000002</v>
      </c>
      <c r="G8" s="2">
        <v>1990.77908</v>
      </c>
      <c r="H8" s="2">
        <v>0.42951</v>
      </c>
      <c r="I8" s="2">
        <f t="shared" si="1"/>
        <v>0.47937011674846408</v>
      </c>
      <c r="J8" s="2">
        <f t="shared" si="2"/>
        <v>562.1884546959443</v>
      </c>
      <c r="K8" s="2">
        <v>0.60729999999999995</v>
      </c>
      <c r="L8" s="2">
        <v>1</v>
      </c>
      <c r="M8" s="2">
        <v>75</v>
      </c>
      <c r="N8" s="2">
        <f t="shared" si="0"/>
        <v>295.92092870788008</v>
      </c>
      <c r="O8">
        <v>6.5059999999999996E-3</v>
      </c>
      <c r="P8">
        <v>7.7822512635379072E-3</v>
      </c>
      <c r="Q8">
        <v>0.15978068462291872</v>
      </c>
      <c r="R8">
        <v>20</v>
      </c>
    </row>
    <row r="9" spans="1:21">
      <c r="A9" s="2">
        <v>20.72</v>
      </c>
      <c r="B9" s="2">
        <v>101000</v>
      </c>
      <c r="C9" s="2">
        <v>1.1973100000000001</v>
      </c>
      <c r="D9" s="2">
        <v>514.19123999999999</v>
      </c>
      <c r="E9" s="2">
        <v>0.53813999999999995</v>
      </c>
      <c r="F9" s="2">
        <v>3.05349</v>
      </c>
      <c r="G9" s="2">
        <v>1985.6786099999999</v>
      </c>
      <c r="H9" s="2">
        <v>0.43580000000000002</v>
      </c>
      <c r="I9" s="2">
        <f t="shared" si="1"/>
        <v>0.54202124884650893</v>
      </c>
      <c r="J9" s="2">
        <f t="shared" si="2"/>
        <v>521.63503160056564</v>
      </c>
      <c r="K9" s="2">
        <v>0.60670000000000002</v>
      </c>
      <c r="L9" s="2">
        <v>1</v>
      </c>
      <c r="M9" s="2">
        <v>75</v>
      </c>
      <c r="N9" s="2">
        <f t="shared" si="0"/>
        <v>377.13491633577951</v>
      </c>
      <c r="O9">
        <v>9.6074627329192537E-3</v>
      </c>
      <c r="P9">
        <v>2.2465557400722019E-2</v>
      </c>
      <c r="Q9">
        <v>0.16235537806072478</v>
      </c>
      <c r="R9">
        <v>10</v>
      </c>
    </row>
    <row r="10" spans="1:21">
      <c r="A10" s="2">
        <v>20.72</v>
      </c>
      <c r="B10" s="2">
        <v>101000</v>
      </c>
      <c r="C10" s="2">
        <v>1.1973100000000001</v>
      </c>
      <c r="D10" s="2">
        <v>486.11583000000002</v>
      </c>
      <c r="E10" s="2">
        <v>0.57665999999999995</v>
      </c>
      <c r="F10" s="2">
        <v>3.08629</v>
      </c>
      <c r="G10" s="2">
        <v>1982.7448099999999</v>
      </c>
      <c r="H10" s="2">
        <v>0.43745000000000001</v>
      </c>
      <c r="I10" s="2">
        <f t="shared" si="1"/>
        <v>0.58167848640087982</v>
      </c>
      <c r="J10" s="2">
        <f t="shared" si="2"/>
        <v>494.61366601992847</v>
      </c>
      <c r="K10" s="2">
        <v>0.60650000000000004</v>
      </c>
      <c r="L10" s="2">
        <v>0.9</v>
      </c>
      <c r="M10" s="2">
        <v>75</v>
      </c>
      <c r="N10" s="2">
        <f t="shared" si="0"/>
        <v>433.34344201309602</v>
      </c>
      <c r="O10">
        <v>7.3546086956521733E-3</v>
      </c>
      <c r="P10">
        <v>1.6148666425992782E-2</v>
      </c>
      <c r="Q10">
        <v>0.15982060235063661</v>
      </c>
      <c r="R10">
        <v>0</v>
      </c>
    </row>
    <row r="11" spans="1:21">
      <c r="A11" s="2">
        <v>20.72</v>
      </c>
      <c r="B11" s="2">
        <v>101000</v>
      </c>
      <c r="C11" s="2">
        <v>1.1973100000000001</v>
      </c>
      <c r="D11" s="2">
        <v>442.61703999999997</v>
      </c>
      <c r="E11" s="2">
        <v>0.63344999999999996</v>
      </c>
      <c r="F11" s="2">
        <v>3.10303</v>
      </c>
      <c r="G11" s="2">
        <v>1981.6295500000001</v>
      </c>
      <c r="H11" s="2">
        <v>0.43541000000000002</v>
      </c>
      <c r="I11" s="2">
        <f t="shared" si="1"/>
        <v>0.63932231935075845</v>
      </c>
      <c r="J11" s="2">
        <f t="shared" si="2"/>
        <v>450.86153076058963</v>
      </c>
      <c r="K11" s="2">
        <v>0.60609999999999997</v>
      </c>
      <c r="L11" s="2">
        <v>0.9</v>
      </c>
      <c r="M11" s="2">
        <v>75</v>
      </c>
      <c r="N11" s="2">
        <f t="shared" si="0"/>
        <v>523.58873801896721</v>
      </c>
      <c r="O11">
        <v>6.4857950310559008E-3</v>
      </c>
      <c r="P11">
        <v>1.68912476534296E-2</v>
      </c>
      <c r="Q11">
        <v>0.1640718403525955</v>
      </c>
      <c r="R11" t="s">
        <v>10</v>
      </c>
    </row>
    <row r="12" spans="1:21">
      <c r="A12" s="2">
        <v>20.72</v>
      </c>
      <c r="B12" s="2">
        <v>101000</v>
      </c>
      <c r="C12" s="2">
        <v>1.1973100000000001</v>
      </c>
      <c r="D12" s="2">
        <v>651.56068000000005</v>
      </c>
      <c r="E12" s="2">
        <v>0.31479000000000001</v>
      </c>
      <c r="F12" s="2">
        <v>2.53965</v>
      </c>
      <c r="G12" s="2">
        <v>2008.30628</v>
      </c>
      <c r="H12" s="2">
        <v>0.38401000000000002</v>
      </c>
      <c r="I12" s="2">
        <f t="shared" si="1"/>
        <v>0.3134880402803899</v>
      </c>
      <c r="J12" s="2">
        <f t="shared" si="2"/>
        <v>646.18216429288213</v>
      </c>
      <c r="K12" s="2">
        <v>0.60970000000000002</v>
      </c>
      <c r="L12" s="2">
        <v>1.4</v>
      </c>
      <c r="M12" s="2">
        <v>75</v>
      </c>
      <c r="N12" s="2">
        <f t="shared" si="0"/>
        <v>127.78022509077556</v>
      </c>
      <c r="O12">
        <v>5.0209347826086952E-3</v>
      </c>
      <c r="P12">
        <v>3.3564671480144398E-3</v>
      </c>
      <c r="Q12">
        <v>0.2464021537708129</v>
      </c>
      <c r="R12">
        <v>40</v>
      </c>
      <c r="S12" t="s">
        <v>14</v>
      </c>
      <c r="T12" t="s">
        <v>15</v>
      </c>
      <c r="U12" s="1">
        <f>100*(H6-H12)/H6</f>
        <v>0.34773582457506363</v>
      </c>
    </row>
    <row r="13" spans="1:2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S13" t="s">
        <v>11</v>
      </c>
    </row>
    <row r="14" spans="1:21">
      <c r="A14" s="2">
        <v>22.7</v>
      </c>
      <c r="B14" s="2">
        <v>101000</v>
      </c>
      <c r="C14" s="2">
        <v>1.18923</v>
      </c>
      <c r="D14" s="2">
        <v>724.29007999999999</v>
      </c>
      <c r="E14" s="2">
        <v>3.9140000000000001E-2</v>
      </c>
      <c r="F14" s="2">
        <v>1.1918299999999999</v>
      </c>
      <c r="G14" s="2">
        <v>1936.17398</v>
      </c>
      <c r="H14" s="2">
        <v>0.11731999999999999</v>
      </c>
      <c r="I14" s="2">
        <f>E14*1900/G14</f>
        <v>3.8408738454382078E-2</v>
      </c>
      <c r="J14" s="2">
        <f>D14*(1900/G14)^2</f>
        <v>697.47874940712859</v>
      </c>
      <c r="K14" s="2">
        <v>0.63560000000000005</v>
      </c>
      <c r="L14" s="2">
        <v>79.400000000000006</v>
      </c>
      <c r="M14" s="2">
        <v>70.45</v>
      </c>
      <c r="N14" s="2">
        <f t="shared" si="0"/>
        <v>1.7811717114303256</v>
      </c>
      <c r="O14">
        <v>6.8494844720496887E-3</v>
      </c>
      <c r="P14">
        <v>2.7227978339350177E-3</v>
      </c>
      <c r="Q14">
        <v>0.22987230563798219</v>
      </c>
      <c r="R14">
        <v>90</v>
      </c>
    </row>
    <row r="15" spans="1:21">
      <c r="A15" s="2">
        <v>22.7</v>
      </c>
      <c r="B15" s="2">
        <v>101000</v>
      </c>
      <c r="C15" s="2">
        <v>1.18923</v>
      </c>
      <c r="D15" s="2">
        <v>652.40961000000004</v>
      </c>
      <c r="E15" s="2">
        <v>0.12626000000000001</v>
      </c>
      <c r="F15" s="2">
        <v>1.6375999999999999</v>
      </c>
      <c r="G15" s="2">
        <v>1923.6809599999999</v>
      </c>
      <c r="H15" s="2">
        <v>0.24970000000000001</v>
      </c>
      <c r="I15" s="2">
        <f t="shared" ref="I15:I23" si="3">E15*1900/G15</f>
        <v>0.1247057100362422</v>
      </c>
      <c r="J15" s="2">
        <f t="shared" ref="J15:J23" si="4">D15*(1900/G15)^2</f>
        <v>636.44584928895995</v>
      </c>
      <c r="K15" s="2">
        <v>0.61729999999999996</v>
      </c>
      <c r="L15" s="2">
        <v>7.2</v>
      </c>
      <c r="M15" s="2">
        <v>70.45</v>
      </c>
      <c r="N15" s="2">
        <f t="shared" si="0"/>
        <v>19.650379381191087</v>
      </c>
      <c r="O15">
        <v>7.3647111801242223E-3</v>
      </c>
      <c r="P15">
        <v>2.6732924187725634E-3</v>
      </c>
      <c r="Q15">
        <v>0.17070354302670626</v>
      </c>
      <c r="R15">
        <v>60</v>
      </c>
    </row>
    <row r="16" spans="1:21">
      <c r="A16" s="2">
        <v>20.72</v>
      </c>
      <c r="B16" s="2">
        <v>101000</v>
      </c>
      <c r="C16" s="2">
        <v>1.1973100000000001</v>
      </c>
      <c r="D16" s="2">
        <v>623.29195000000004</v>
      </c>
      <c r="E16" s="2">
        <v>0.20105999999999999</v>
      </c>
      <c r="F16" s="2">
        <v>1.9315899999999999</v>
      </c>
      <c r="G16" s="2">
        <v>1914.92218</v>
      </c>
      <c r="H16" s="2">
        <v>0.32353999999999999</v>
      </c>
      <c r="I16" s="2">
        <f t="shared" si="3"/>
        <v>0.19949322431473426</v>
      </c>
      <c r="J16" s="2">
        <f t="shared" si="4"/>
        <v>613.61569696722268</v>
      </c>
      <c r="K16" s="2">
        <v>0.61280000000000001</v>
      </c>
      <c r="L16" s="2">
        <v>2.9</v>
      </c>
      <c r="M16" s="2">
        <v>70.45</v>
      </c>
      <c r="N16" s="2">
        <f t="shared" si="0"/>
        <v>51.602177333114327</v>
      </c>
      <c r="O16">
        <v>5.4452391304347829E-3</v>
      </c>
      <c r="P16">
        <v>3.1782476534296025E-3</v>
      </c>
      <c r="Q16">
        <v>0.15534445697329377</v>
      </c>
      <c r="R16">
        <v>50</v>
      </c>
    </row>
    <row r="17" spans="1:21">
      <c r="A17" s="2">
        <v>20.72</v>
      </c>
      <c r="B17" s="2">
        <v>101000</v>
      </c>
      <c r="C17" s="2">
        <v>1.1973100000000001</v>
      </c>
      <c r="D17" s="2">
        <v>586.75724000000002</v>
      </c>
      <c r="E17" s="2">
        <v>0.29546</v>
      </c>
      <c r="F17" s="2">
        <v>2.2768299999999999</v>
      </c>
      <c r="G17" s="2">
        <v>1903.8549700000001</v>
      </c>
      <c r="H17" s="2">
        <v>0.38191999999999998</v>
      </c>
      <c r="I17" s="2">
        <f t="shared" si="3"/>
        <v>0.29486174569274043</v>
      </c>
      <c r="J17" s="2">
        <f t="shared" si="4"/>
        <v>584.38348612990887</v>
      </c>
      <c r="K17" s="2">
        <v>0.61009999999999998</v>
      </c>
      <c r="L17" s="2">
        <v>1.5</v>
      </c>
      <c r="M17" s="2">
        <v>70.45</v>
      </c>
      <c r="N17" s="2">
        <f t="shared" si="0"/>
        <v>112.42153755311652</v>
      </c>
      <c r="O17">
        <v>6.6575372670807454E-3</v>
      </c>
      <c r="P17">
        <v>4.9604425992779777E-3</v>
      </c>
      <c r="Q17">
        <v>0.1296149643916914</v>
      </c>
      <c r="R17">
        <v>40</v>
      </c>
    </row>
    <row r="18" spans="1:21">
      <c r="A18" s="2">
        <v>20.72</v>
      </c>
      <c r="B18" s="2">
        <v>101000</v>
      </c>
      <c r="C18" s="2">
        <v>1.1973100000000001</v>
      </c>
      <c r="D18" s="2">
        <v>534.29651000000001</v>
      </c>
      <c r="E18" s="2">
        <v>0.39839999999999998</v>
      </c>
      <c r="F18" s="2">
        <v>2.5749</v>
      </c>
      <c r="G18" s="2">
        <v>1893.58359</v>
      </c>
      <c r="H18" s="2">
        <v>0.41689999999999999</v>
      </c>
      <c r="I18" s="2">
        <f t="shared" si="3"/>
        <v>0.39974997882190133</v>
      </c>
      <c r="J18" s="2">
        <f t="shared" si="4"/>
        <v>537.92357334006238</v>
      </c>
      <c r="K18" s="2">
        <v>0.60829999999999995</v>
      </c>
      <c r="L18" s="2">
        <v>1.1000000000000001</v>
      </c>
      <c r="M18" s="2">
        <v>70.45</v>
      </c>
      <c r="N18" s="2">
        <f t="shared" si="0"/>
        <v>205.61614394697105</v>
      </c>
      <c r="O18">
        <v>4.7279627329192544E-3</v>
      </c>
      <c r="P18">
        <v>9.8119732851985556E-3</v>
      </c>
      <c r="Q18">
        <v>0.1149210356083086</v>
      </c>
      <c r="R18">
        <v>30</v>
      </c>
    </row>
    <row r="19" spans="1:21">
      <c r="A19" s="2">
        <v>20.72</v>
      </c>
      <c r="B19" s="2">
        <v>101000</v>
      </c>
      <c r="C19" s="2">
        <v>1.1973100000000001</v>
      </c>
      <c r="D19" s="2">
        <v>490.95505000000003</v>
      </c>
      <c r="E19" s="2">
        <v>0.47099000000000002</v>
      </c>
      <c r="F19" s="2">
        <v>2.7192599999999998</v>
      </c>
      <c r="G19" s="2">
        <v>1887.89411</v>
      </c>
      <c r="H19" s="2">
        <v>0.43013000000000001</v>
      </c>
      <c r="I19" s="2">
        <f t="shared" si="3"/>
        <v>0.47401016575023908</v>
      </c>
      <c r="J19" s="2">
        <f t="shared" si="4"/>
        <v>497.27161575936378</v>
      </c>
      <c r="K19" s="2">
        <v>0.60750000000000004</v>
      </c>
      <c r="L19" s="2">
        <v>1</v>
      </c>
      <c r="M19" s="2">
        <v>70.45</v>
      </c>
      <c r="N19" s="2">
        <f t="shared" si="0"/>
        <v>288.12768632590678</v>
      </c>
      <c r="O19">
        <v>4.1117111801242225E-3</v>
      </c>
      <c r="P19">
        <v>1.3920922743682311E-2</v>
      </c>
      <c r="Q19">
        <v>0.10953930860534124</v>
      </c>
      <c r="R19">
        <v>20</v>
      </c>
    </row>
    <row r="20" spans="1:21">
      <c r="A20" s="2">
        <v>20.72</v>
      </c>
      <c r="B20" s="2">
        <v>101000</v>
      </c>
      <c r="C20" s="2">
        <v>1.1973100000000001</v>
      </c>
      <c r="D20" s="2">
        <v>456.28262999999998</v>
      </c>
      <c r="E20" s="2">
        <v>0.52264999999999995</v>
      </c>
      <c r="F20" s="2">
        <v>2.7822300000000002</v>
      </c>
      <c r="G20" s="2">
        <v>1885.2737999999999</v>
      </c>
      <c r="H20" s="2">
        <v>0.43415999999999999</v>
      </c>
      <c r="I20" s="2">
        <f t="shared" si="3"/>
        <v>0.5267325096227401</v>
      </c>
      <c r="J20" s="2">
        <f t="shared" si="4"/>
        <v>463.43867503686766</v>
      </c>
      <c r="K20" s="2">
        <v>0.6069</v>
      </c>
      <c r="L20" s="2">
        <v>1</v>
      </c>
      <c r="M20" s="2">
        <v>70.45</v>
      </c>
      <c r="N20" s="2">
        <f t="shared" si="0"/>
        <v>355.50181159855623</v>
      </c>
      <c r="O20">
        <v>7.3546086956521733E-3</v>
      </c>
      <c r="P20">
        <v>9.9802916967509023E-3</v>
      </c>
      <c r="Q20">
        <v>0.11000290306627102</v>
      </c>
      <c r="R20">
        <v>10</v>
      </c>
    </row>
    <row r="21" spans="1:21">
      <c r="A21" s="2">
        <v>20.72</v>
      </c>
      <c r="B21" s="2">
        <v>101000</v>
      </c>
      <c r="C21" s="2">
        <v>1.1973100000000001</v>
      </c>
      <c r="D21" s="2">
        <v>438.78464000000002</v>
      </c>
      <c r="E21" s="2">
        <v>0.54890000000000005</v>
      </c>
      <c r="F21" s="2">
        <v>2.8038699999999999</v>
      </c>
      <c r="G21" s="2">
        <v>1884.3610100000001</v>
      </c>
      <c r="H21" s="2">
        <v>0.43530999999999997</v>
      </c>
      <c r="I21" s="2">
        <f t="shared" si="3"/>
        <v>0.55345551858982689</v>
      </c>
      <c r="J21" s="2">
        <f t="shared" si="4"/>
        <v>446.0981264079897</v>
      </c>
      <c r="K21" s="2">
        <v>0.60670000000000002</v>
      </c>
      <c r="L21" s="2">
        <v>1</v>
      </c>
      <c r="M21" s="2">
        <v>70.45</v>
      </c>
      <c r="N21" s="2">
        <f t="shared" si="0"/>
        <v>392.36716392837718</v>
      </c>
      <c r="O21">
        <v>4.8592950310559005E-3</v>
      </c>
      <c r="P21">
        <v>1.1356542238267146E-2</v>
      </c>
      <c r="Q21">
        <v>0.11124251434223542</v>
      </c>
      <c r="R21">
        <v>0</v>
      </c>
    </row>
    <row r="22" spans="1:21">
      <c r="A22" s="2">
        <v>20.72</v>
      </c>
      <c r="B22" s="2">
        <v>101000</v>
      </c>
      <c r="C22" s="2">
        <v>1.1973100000000001</v>
      </c>
      <c r="D22" s="2">
        <v>399.44992000000002</v>
      </c>
      <c r="E22" s="2">
        <v>0.60319</v>
      </c>
      <c r="F22" s="2">
        <v>2.8218000000000001</v>
      </c>
      <c r="G22" s="2">
        <v>1883.15281</v>
      </c>
      <c r="H22" s="2">
        <v>0.43297999999999998</v>
      </c>
      <c r="I22" s="2">
        <f t="shared" si="3"/>
        <v>0.60858629948357712</v>
      </c>
      <c r="J22" s="2">
        <f t="shared" si="4"/>
        <v>406.62906245067745</v>
      </c>
      <c r="K22" s="2">
        <v>0.60629999999999995</v>
      </c>
      <c r="L22" s="2">
        <v>0.9</v>
      </c>
      <c r="M22" s="2">
        <v>70.45</v>
      </c>
      <c r="N22" s="2">
        <f t="shared" si="0"/>
        <v>474.44657206962626</v>
      </c>
      <c r="O22">
        <v>4.7885776397515525E-3</v>
      </c>
      <c r="P22">
        <v>9.0495898916967514E-3</v>
      </c>
      <c r="Q22">
        <v>0.11298603264094956</v>
      </c>
      <c r="R22" t="s">
        <v>10</v>
      </c>
    </row>
    <row r="23" spans="1:21">
      <c r="A23" s="2">
        <v>20.72</v>
      </c>
      <c r="B23" s="2">
        <v>101000</v>
      </c>
      <c r="C23" s="2">
        <v>1.1973100000000001</v>
      </c>
      <c r="D23" s="2">
        <v>651.91175999999996</v>
      </c>
      <c r="E23" s="2">
        <v>0.12764</v>
      </c>
      <c r="F23" s="2">
        <v>1.65503</v>
      </c>
      <c r="G23" s="2">
        <v>1923.1206400000001</v>
      </c>
      <c r="H23" s="2">
        <v>0.24965999999999999</v>
      </c>
      <c r="I23" s="2">
        <f t="shared" si="3"/>
        <v>0.1261054532699519</v>
      </c>
      <c r="J23" s="2">
        <f t="shared" si="4"/>
        <v>636.330821561996</v>
      </c>
      <c r="K23" s="2">
        <v>0.61729999999999996</v>
      </c>
      <c r="L23" s="2">
        <v>7.2</v>
      </c>
      <c r="M23" s="2">
        <v>70.45</v>
      </c>
      <c r="N23" s="2">
        <f t="shared" si="0"/>
        <v>20.494400590224902</v>
      </c>
      <c r="O23">
        <v>6.061490683229814E-3</v>
      </c>
      <c r="P23">
        <v>9.6832592057761735E-3</v>
      </c>
      <c r="Q23">
        <v>0.11319767359050446</v>
      </c>
      <c r="R23">
        <v>60</v>
      </c>
      <c r="S23" t="s">
        <v>14</v>
      </c>
      <c r="T23" t="s">
        <v>15</v>
      </c>
      <c r="U23" s="1">
        <f>100*(H15-H23)/H15</f>
        <v>1.6019223067686123E-2</v>
      </c>
    </row>
    <row r="24" spans="1:2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S24" t="s">
        <v>11</v>
      </c>
    </row>
    <row r="25" spans="1:21">
      <c r="A25" s="2">
        <v>20.72</v>
      </c>
      <c r="B25" s="2">
        <v>101000</v>
      </c>
      <c r="C25" s="2">
        <v>1.1973100000000001</v>
      </c>
      <c r="D25" s="2">
        <v>615.38939000000005</v>
      </c>
      <c r="E25" s="2">
        <v>3.823E-2</v>
      </c>
      <c r="F25" s="2">
        <v>1.02966</v>
      </c>
      <c r="G25" s="2">
        <v>1785.0077900000001</v>
      </c>
      <c r="H25" s="2">
        <v>0.12223000000000001</v>
      </c>
      <c r="I25" s="2">
        <f>E25*1760/G25</f>
        <v>3.7694401322472662E-2</v>
      </c>
      <c r="J25" s="2">
        <f>D25*(1760/G25)^2</f>
        <v>598.26708297142761</v>
      </c>
      <c r="K25" s="2">
        <v>0.63439999999999996</v>
      </c>
      <c r="L25" s="2">
        <v>71.400000000000006</v>
      </c>
      <c r="M25" s="2">
        <v>64.705799999999996</v>
      </c>
      <c r="N25" s="2">
        <f t="shared" si="0"/>
        <v>1.7407501093339386</v>
      </c>
      <c r="O25">
        <v>6.0311832298136636E-3</v>
      </c>
      <c r="P25">
        <v>2.7734157303370786E-3</v>
      </c>
      <c r="Q25">
        <v>0.17414043916913949</v>
      </c>
      <c r="R25">
        <v>90</v>
      </c>
    </row>
    <row r="26" spans="1:21">
      <c r="A26" s="2">
        <v>20.72</v>
      </c>
      <c r="B26" s="2">
        <v>101000</v>
      </c>
      <c r="C26" s="2">
        <v>1.1973100000000001</v>
      </c>
      <c r="D26" s="2">
        <v>558.14043000000004</v>
      </c>
      <c r="E26" s="2">
        <v>0.11194</v>
      </c>
      <c r="F26" s="2">
        <v>1.3987700000000001</v>
      </c>
      <c r="G26" s="2">
        <v>1776.8226400000001</v>
      </c>
      <c r="H26" s="2">
        <v>0.24005000000000001</v>
      </c>
      <c r="I26" s="2">
        <f t="shared" ref="I26:I34" si="5">E26*1760/G26</f>
        <v>0.11088017203562871</v>
      </c>
      <c r="J26" s="2">
        <f t="shared" ref="J26:J34" si="6">D26*(1760/G26)^2</f>
        <v>547.62171332960111</v>
      </c>
      <c r="K26" s="2">
        <v>0.61829999999999996</v>
      </c>
      <c r="L26" s="2">
        <v>9.1</v>
      </c>
      <c r="M26" s="2">
        <v>64.705799999999996</v>
      </c>
      <c r="N26" s="2">
        <f t="shared" si="0"/>
        <v>15.711812793561435</v>
      </c>
      <c r="O26">
        <v>6.2938478260869558E-3</v>
      </c>
      <c r="P26">
        <v>2.7631438202247193E-3</v>
      </c>
      <c r="Q26">
        <v>0.1364046409495549</v>
      </c>
      <c r="R26">
        <v>60</v>
      </c>
    </row>
    <row r="27" spans="1:21">
      <c r="A27" s="2">
        <v>20.72</v>
      </c>
      <c r="B27" s="2">
        <v>101000</v>
      </c>
      <c r="C27" s="2">
        <v>1.1973100000000001</v>
      </c>
      <c r="D27" s="2">
        <v>531.37415999999996</v>
      </c>
      <c r="E27" s="2">
        <v>0.18984999999999999</v>
      </c>
      <c r="F27" s="2">
        <v>1.6821600000000001</v>
      </c>
      <c r="G27" s="2">
        <v>1770.24702</v>
      </c>
      <c r="H27" s="2">
        <v>0.32351000000000002</v>
      </c>
      <c r="I27" s="2">
        <f t="shared" si="5"/>
        <v>0.18875105916009391</v>
      </c>
      <c r="J27" s="2">
        <f t="shared" si="6"/>
        <v>525.24027871445367</v>
      </c>
      <c r="K27" s="2">
        <v>0.61329999999999996</v>
      </c>
      <c r="L27" s="2">
        <v>3.2</v>
      </c>
      <c r="M27" s="2">
        <v>64.705799999999996</v>
      </c>
      <c r="N27" s="2">
        <f t="shared" si="0"/>
        <v>45.933491392684424</v>
      </c>
      <c r="O27">
        <v>7.4758385093167705E-3</v>
      </c>
      <c r="P27">
        <v>2.978853932584269E-3</v>
      </c>
      <c r="Q27">
        <v>0.12831983679525225</v>
      </c>
      <c r="R27">
        <v>50</v>
      </c>
    </row>
    <row r="28" spans="1:21">
      <c r="A28" s="2">
        <v>20.72</v>
      </c>
      <c r="B28" s="2">
        <v>101000</v>
      </c>
      <c r="C28" s="2">
        <v>1.1973100000000001</v>
      </c>
      <c r="D28" s="2">
        <v>501.01123000000001</v>
      </c>
      <c r="E28" s="2">
        <v>0.27872999999999998</v>
      </c>
      <c r="F28" s="2">
        <v>1.9842299999999999</v>
      </c>
      <c r="G28" s="2">
        <v>1762.8434299999999</v>
      </c>
      <c r="H28" s="2">
        <v>0.38123000000000001</v>
      </c>
      <c r="I28" s="2">
        <f t="shared" si="5"/>
        <v>0.27828041427366013</v>
      </c>
      <c r="J28" s="2">
        <f t="shared" si="6"/>
        <v>499.39629197419788</v>
      </c>
      <c r="K28" s="2">
        <v>0.61050000000000004</v>
      </c>
      <c r="L28" s="2">
        <v>1.7</v>
      </c>
      <c r="M28" s="2">
        <v>64.705799999999996</v>
      </c>
      <c r="N28" s="2">
        <f t="shared" si="0"/>
        <v>99.919505656764557</v>
      </c>
      <c r="O28">
        <v>4.616835403726708E-3</v>
      </c>
      <c r="P28">
        <v>4.2422988764044944E-3</v>
      </c>
      <c r="Q28">
        <v>0.11945977744807124</v>
      </c>
      <c r="R28">
        <v>40</v>
      </c>
    </row>
    <row r="29" spans="1:21">
      <c r="A29" s="2">
        <v>20.72</v>
      </c>
      <c r="B29" s="2">
        <v>101000</v>
      </c>
      <c r="C29" s="2">
        <v>1.1973100000000001</v>
      </c>
      <c r="D29" s="2">
        <v>459.66397999999998</v>
      </c>
      <c r="E29" s="2">
        <v>0.37064000000000002</v>
      </c>
      <c r="F29" s="2">
        <v>2.2350599999999998</v>
      </c>
      <c r="G29" s="2">
        <v>1756.42797</v>
      </c>
      <c r="H29" s="2">
        <v>0.41442000000000001</v>
      </c>
      <c r="I29" s="2">
        <f t="shared" si="5"/>
        <v>0.3713937668619568</v>
      </c>
      <c r="J29" s="2">
        <f t="shared" si="6"/>
        <v>461.53550920182306</v>
      </c>
      <c r="K29" s="2">
        <v>0.60870000000000002</v>
      </c>
      <c r="L29" s="2">
        <v>1.2</v>
      </c>
      <c r="M29" s="2">
        <v>64.705799999999996</v>
      </c>
      <c r="N29" s="2">
        <f t="shared" si="0"/>
        <v>177.72648619156612</v>
      </c>
      <c r="O29">
        <v>5.7685186335403723E-3</v>
      </c>
      <c r="P29">
        <v>6.1323303370786515E-3</v>
      </c>
      <c r="Q29">
        <v>9.9585053412462918E-2</v>
      </c>
      <c r="R29">
        <v>30</v>
      </c>
    </row>
    <row r="30" spans="1:21">
      <c r="A30" s="2">
        <v>20.72</v>
      </c>
      <c r="B30" s="2">
        <v>101000</v>
      </c>
      <c r="C30" s="2">
        <v>1.1973100000000001</v>
      </c>
      <c r="D30" s="2">
        <v>426.88387999999998</v>
      </c>
      <c r="E30" s="2">
        <v>0.43074000000000001</v>
      </c>
      <c r="F30" s="2">
        <v>2.3487499999999999</v>
      </c>
      <c r="G30" s="2">
        <v>1753.42284</v>
      </c>
      <c r="H30" s="2">
        <v>0.42636000000000002</v>
      </c>
      <c r="I30" s="2">
        <f t="shared" si="5"/>
        <v>0.43235572316372928</v>
      </c>
      <c r="J30" s="2">
        <f t="shared" si="6"/>
        <v>430.09240378941502</v>
      </c>
      <c r="K30" s="2">
        <v>0.6079</v>
      </c>
      <c r="L30" s="2">
        <v>1.1000000000000001</v>
      </c>
      <c r="M30" s="2">
        <v>64.705799999999996</v>
      </c>
      <c r="N30" s="2">
        <f t="shared" si="0"/>
        <v>240.66908363938438</v>
      </c>
      <c r="O30">
        <v>5.5765714285714281E-3</v>
      </c>
      <c r="P30">
        <v>1.0251366292134832E-2</v>
      </c>
      <c r="Q30">
        <v>9.9262869436201787E-2</v>
      </c>
      <c r="R30">
        <v>20</v>
      </c>
    </row>
    <row r="31" spans="1:21">
      <c r="A31" s="2">
        <v>20.72</v>
      </c>
      <c r="B31" s="2">
        <v>101000</v>
      </c>
      <c r="C31" s="2">
        <v>1.1973100000000001</v>
      </c>
      <c r="D31" s="2">
        <v>396.8442</v>
      </c>
      <c r="E31" s="2">
        <v>0.48293000000000003</v>
      </c>
      <c r="F31" s="2">
        <v>2.4170799999999999</v>
      </c>
      <c r="G31" s="2">
        <v>1751.5331200000001</v>
      </c>
      <c r="H31" s="2">
        <v>0.43228</v>
      </c>
      <c r="I31" s="2">
        <f t="shared" si="5"/>
        <v>0.48526447504458264</v>
      </c>
      <c r="J31" s="2">
        <f t="shared" si="6"/>
        <v>400.69014884296547</v>
      </c>
      <c r="K31" s="2">
        <v>0.60729999999999995</v>
      </c>
      <c r="L31" s="2">
        <v>1</v>
      </c>
      <c r="M31" s="2">
        <v>64.705799999999996</v>
      </c>
      <c r="N31" s="2">
        <f t="shared" si="0"/>
        <v>303.12097652779113</v>
      </c>
      <c r="O31">
        <v>5.7685186335403723E-3</v>
      </c>
      <c r="P31">
        <v>1.1052575280898877E-2</v>
      </c>
      <c r="Q31">
        <v>0.10098454005934719</v>
      </c>
      <c r="R31">
        <v>10</v>
      </c>
    </row>
    <row r="32" spans="1:21">
      <c r="A32" s="2">
        <v>20.72</v>
      </c>
      <c r="B32" s="2">
        <v>101000</v>
      </c>
      <c r="C32" s="2">
        <v>1.1973100000000001</v>
      </c>
      <c r="D32" s="2">
        <v>378.73576000000003</v>
      </c>
      <c r="E32" s="2">
        <v>0.51114999999999999</v>
      </c>
      <c r="F32" s="2">
        <v>2.4414899999999999</v>
      </c>
      <c r="G32" s="2">
        <v>1750.8438000000001</v>
      </c>
      <c r="H32" s="2">
        <v>0.43247000000000002</v>
      </c>
      <c r="I32" s="2">
        <f t="shared" si="5"/>
        <v>0.51382310632164896</v>
      </c>
      <c r="J32" s="2">
        <f t="shared" si="6"/>
        <v>382.70738545876338</v>
      </c>
      <c r="K32" s="2">
        <v>0.60699999999999998</v>
      </c>
      <c r="L32" s="2">
        <v>1</v>
      </c>
      <c r="M32" s="2">
        <v>64.705799999999996</v>
      </c>
      <c r="N32" s="2">
        <f t="shared" si="0"/>
        <v>339.91750613649714</v>
      </c>
      <c r="O32">
        <v>4.5764254658385095E-3</v>
      </c>
      <c r="P32">
        <v>1.2500914606741574E-2</v>
      </c>
      <c r="Q32">
        <v>0.10229341246290802</v>
      </c>
      <c r="R32">
        <v>0</v>
      </c>
    </row>
    <row r="33" spans="1:21">
      <c r="A33" s="2">
        <v>20.72</v>
      </c>
      <c r="B33" s="2">
        <v>101000</v>
      </c>
      <c r="C33" s="2">
        <v>1.1973100000000001</v>
      </c>
      <c r="D33" s="2">
        <v>345.25844999999998</v>
      </c>
      <c r="E33" s="2">
        <v>0.5615</v>
      </c>
      <c r="F33" s="2">
        <v>2.4570099999999999</v>
      </c>
      <c r="G33" s="2">
        <v>1750.2930200000001</v>
      </c>
      <c r="H33" s="2">
        <v>0.43047000000000002</v>
      </c>
      <c r="I33" s="2">
        <f t="shared" si="5"/>
        <v>0.5646140324549771</v>
      </c>
      <c r="J33" s="2">
        <f t="shared" si="6"/>
        <v>349.09861866964644</v>
      </c>
      <c r="K33" s="2">
        <v>0.60660000000000003</v>
      </c>
      <c r="L33" s="2">
        <v>1</v>
      </c>
      <c r="M33" s="2">
        <v>64.705799999999996</v>
      </c>
      <c r="N33" s="2">
        <f t="shared" si="0"/>
        <v>410.72287652820432</v>
      </c>
      <c r="O33">
        <v>5.8089285714285708E-3</v>
      </c>
      <c r="P33">
        <v>9.7480426966292128E-3</v>
      </c>
      <c r="Q33">
        <v>0.10139733827893176</v>
      </c>
      <c r="R33" t="s">
        <v>10</v>
      </c>
    </row>
    <row r="34" spans="1:21">
      <c r="A34" s="2">
        <v>20.72</v>
      </c>
      <c r="B34" s="2">
        <v>101000</v>
      </c>
      <c r="C34" s="2">
        <v>1.1973100000000001</v>
      </c>
      <c r="D34" s="2">
        <v>426.66287999999997</v>
      </c>
      <c r="E34" s="2">
        <v>0.43048999999999998</v>
      </c>
      <c r="F34" s="2">
        <v>2.35161</v>
      </c>
      <c r="G34" s="2">
        <v>1752.97945</v>
      </c>
      <c r="H34" s="2">
        <v>0.42548000000000002</v>
      </c>
      <c r="I34" s="2">
        <f t="shared" si="5"/>
        <v>0.43221407986271598</v>
      </c>
      <c r="J34" s="2">
        <f t="shared" si="6"/>
        <v>430.08722849820424</v>
      </c>
      <c r="K34" s="2">
        <v>0.6079</v>
      </c>
      <c r="L34" s="2">
        <v>1.1000000000000001</v>
      </c>
      <c r="M34" s="2">
        <v>64.705799999999996</v>
      </c>
      <c r="N34" s="2">
        <f t="shared" si="0"/>
        <v>240.38979771064626</v>
      </c>
      <c r="O34">
        <v>5.1320621118012425E-3</v>
      </c>
      <c r="P34">
        <v>9.4912449438202245E-3</v>
      </c>
      <c r="Q34">
        <v>9.9645462908011892E-2</v>
      </c>
      <c r="R34">
        <v>20</v>
      </c>
      <c r="S34" t="s">
        <v>14</v>
      </c>
      <c r="T34" t="s">
        <v>15</v>
      </c>
      <c r="U34" s="1">
        <f>100*(H30-H34)/H30</f>
        <v>0.20639834881320759</v>
      </c>
    </row>
    <row r="35" spans="1:2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S35" t="s">
        <v>11</v>
      </c>
    </row>
    <row r="36" spans="1:21">
      <c r="A36" s="2">
        <v>20.72</v>
      </c>
      <c r="B36" s="2">
        <v>101000</v>
      </c>
      <c r="C36" s="2">
        <v>1.1973100000000001</v>
      </c>
      <c r="D36" s="2">
        <v>506.33276999999998</v>
      </c>
      <c r="E36" s="2">
        <v>3.678E-2</v>
      </c>
      <c r="F36" s="2">
        <v>0.87744</v>
      </c>
      <c r="G36" s="2">
        <v>1617.42507</v>
      </c>
      <c r="H36" s="2">
        <v>0.12531</v>
      </c>
      <c r="I36" s="2">
        <f>E36*1600/G36</f>
        <v>3.6383756559430602E-2</v>
      </c>
      <c r="J36" s="2">
        <f>D36*(1600/G36)^2</f>
        <v>495.48174739682548</v>
      </c>
      <c r="K36" s="2">
        <v>0.63729999999999998</v>
      </c>
      <c r="L36" s="2">
        <v>83.8</v>
      </c>
      <c r="M36" s="2">
        <v>58.482399999999998</v>
      </c>
      <c r="N36" s="2">
        <f t="shared" si="0"/>
        <v>1.5965767350826405</v>
      </c>
      <c r="O36">
        <v>7.8193229813664587E-3</v>
      </c>
      <c r="P36">
        <v>2.7015123595505617E-3</v>
      </c>
      <c r="Q36">
        <v>9.9909637982195862E-2</v>
      </c>
      <c r="R36">
        <v>90</v>
      </c>
    </row>
    <row r="37" spans="1:21">
      <c r="A37" s="2">
        <v>20.72</v>
      </c>
      <c r="B37" s="2">
        <v>101000</v>
      </c>
      <c r="C37" s="2">
        <v>1.1973100000000001</v>
      </c>
      <c r="D37" s="2">
        <v>461.12772999999999</v>
      </c>
      <c r="E37" s="2">
        <v>9.8040000000000002E-2</v>
      </c>
      <c r="F37" s="2">
        <v>1.1649499999999999</v>
      </c>
      <c r="G37" s="2">
        <v>1612.47686</v>
      </c>
      <c r="H37" s="2">
        <v>0.22983000000000001</v>
      </c>
      <c r="I37" s="2">
        <f t="shared" ref="I37:I45" si="7">E37*1600/G37</f>
        <v>9.7281396025738945E-2</v>
      </c>
      <c r="J37" s="2">
        <f t="shared" ref="J37:J45" si="8">D37*(1600/G37)^2</f>
        <v>454.01920381554174</v>
      </c>
      <c r="K37" s="2">
        <v>0.61990000000000001</v>
      </c>
      <c r="L37" s="2">
        <v>11.9</v>
      </c>
      <c r="M37" s="2">
        <v>58.482399999999998</v>
      </c>
      <c r="N37" s="2">
        <f t="shared" si="0"/>
        <v>11.98995397933087</v>
      </c>
      <c r="O37">
        <v>5.9705683229813664E-3</v>
      </c>
      <c r="P37">
        <v>2.7836876404494387E-3</v>
      </c>
      <c r="Q37">
        <v>9.4528041543026728E-2</v>
      </c>
      <c r="R37">
        <v>60</v>
      </c>
    </row>
    <row r="38" spans="1:21">
      <c r="A38" s="2">
        <v>20.72</v>
      </c>
      <c r="B38" s="2">
        <v>101000</v>
      </c>
      <c r="C38" s="2">
        <v>1.1973100000000001</v>
      </c>
      <c r="D38" s="2">
        <v>439.09415999999999</v>
      </c>
      <c r="E38" s="2">
        <v>0.16993</v>
      </c>
      <c r="F38" s="2">
        <v>1.4076900000000001</v>
      </c>
      <c r="G38" s="2">
        <v>1608.1860300000001</v>
      </c>
      <c r="H38" s="2">
        <v>0.31473000000000001</v>
      </c>
      <c r="I38" s="2">
        <f t="shared" si="7"/>
        <v>0.1690650179320361</v>
      </c>
      <c r="J38" s="2">
        <f t="shared" si="8"/>
        <v>434.63536027249404</v>
      </c>
      <c r="K38" s="2">
        <v>0.61419999999999997</v>
      </c>
      <c r="L38" s="2">
        <v>3.9</v>
      </c>
      <c r="M38" s="2">
        <v>58.482399999999998</v>
      </c>
      <c r="N38" s="2">
        <f t="shared" si="0"/>
        <v>36.692277917446056</v>
      </c>
      <c r="O38">
        <v>5.7079037267080742E-3</v>
      </c>
      <c r="P38">
        <v>3.1329325842696628E-3</v>
      </c>
      <c r="Q38">
        <v>0.10039978338278933</v>
      </c>
      <c r="R38">
        <v>50</v>
      </c>
    </row>
    <row r="39" spans="1:21">
      <c r="A39" s="2">
        <v>20.72</v>
      </c>
      <c r="B39" s="2">
        <v>101000</v>
      </c>
      <c r="C39" s="2">
        <v>1.1973100000000001</v>
      </c>
      <c r="D39" s="2">
        <v>416.41858999999999</v>
      </c>
      <c r="E39" s="2">
        <v>0.24807999999999999</v>
      </c>
      <c r="F39" s="2">
        <v>1.657</v>
      </c>
      <c r="G39" s="2">
        <v>1603.60571</v>
      </c>
      <c r="H39" s="2">
        <v>0.37125999999999998</v>
      </c>
      <c r="I39" s="2">
        <f t="shared" si="7"/>
        <v>0.24752219172379972</v>
      </c>
      <c r="J39" s="2">
        <f t="shared" si="8"/>
        <v>414.54805958288762</v>
      </c>
      <c r="K39" s="2">
        <v>0.61129999999999995</v>
      </c>
      <c r="L39" s="2">
        <v>2</v>
      </c>
      <c r="M39" s="2">
        <v>58.482399999999998</v>
      </c>
      <c r="N39" s="2">
        <f t="shared" si="0"/>
        <v>78.945776105387765</v>
      </c>
      <c r="O39">
        <v>4.1319161490683222E-3</v>
      </c>
      <c r="P39">
        <v>3.8006067415730337E-3</v>
      </c>
      <c r="Q39">
        <v>0.11214326706231456</v>
      </c>
      <c r="R39">
        <v>40</v>
      </c>
    </row>
    <row r="40" spans="1:21">
      <c r="A40" s="2">
        <v>20.420000000000002</v>
      </c>
      <c r="B40" s="2">
        <v>101000</v>
      </c>
      <c r="C40" s="2">
        <v>1.1985300000000001</v>
      </c>
      <c r="D40" s="2">
        <v>381.74488000000002</v>
      </c>
      <c r="E40" s="2">
        <v>0.33654000000000001</v>
      </c>
      <c r="F40" s="2">
        <v>1.8785000000000001</v>
      </c>
      <c r="G40" s="2">
        <v>1599.41857</v>
      </c>
      <c r="H40" s="2">
        <v>0.40833000000000003</v>
      </c>
      <c r="I40" s="2">
        <f t="shared" si="7"/>
        <v>0.33666234099057635</v>
      </c>
      <c r="J40" s="2">
        <f t="shared" si="8"/>
        <v>382.02247871426351</v>
      </c>
      <c r="K40" s="2">
        <v>0.60929999999999995</v>
      </c>
      <c r="L40" s="2">
        <v>1.3</v>
      </c>
      <c r="M40" s="2">
        <v>58.482399999999998</v>
      </c>
      <c r="N40" s="2">
        <f t="shared" si="0"/>
        <v>146.68716208524808</v>
      </c>
      <c r="O40">
        <v>5.505854037267081E-3</v>
      </c>
      <c r="P40">
        <v>6.5021191011235945E-3</v>
      </c>
      <c r="Q40">
        <v>0.12818802670623147</v>
      </c>
      <c r="R40">
        <v>30</v>
      </c>
    </row>
    <row r="41" spans="1:21">
      <c r="A41" s="2">
        <v>20.420000000000002</v>
      </c>
      <c r="B41" s="2">
        <v>101000</v>
      </c>
      <c r="C41" s="2">
        <v>1.1985300000000001</v>
      </c>
      <c r="D41" s="2">
        <v>351.60708</v>
      </c>
      <c r="E41" s="2">
        <v>0.40061999999999998</v>
      </c>
      <c r="F41" s="2">
        <v>1.98854</v>
      </c>
      <c r="G41" s="2">
        <v>1597.1820499999999</v>
      </c>
      <c r="H41" s="2">
        <v>0.42352000000000001</v>
      </c>
      <c r="I41" s="2">
        <f t="shared" si="7"/>
        <v>0.40132682432788425</v>
      </c>
      <c r="J41" s="2">
        <f t="shared" si="8"/>
        <v>352.84887360530342</v>
      </c>
      <c r="K41" s="2">
        <v>0.60829999999999995</v>
      </c>
      <c r="L41" s="2">
        <v>1.1000000000000001</v>
      </c>
      <c r="M41" s="2">
        <v>58.482399999999998</v>
      </c>
      <c r="N41" s="2">
        <f t="shared" si="0"/>
        <v>208.55024397930069</v>
      </c>
      <c r="O41">
        <v>5.0108322981366462E-3</v>
      </c>
      <c r="P41">
        <v>8.8543865168539317E-3</v>
      </c>
      <c r="Q41">
        <v>0.13762082492581607</v>
      </c>
      <c r="R41">
        <v>20</v>
      </c>
    </row>
    <row r="42" spans="1:21">
      <c r="A42" s="2">
        <v>20.420000000000002</v>
      </c>
      <c r="B42" s="2">
        <v>101000</v>
      </c>
      <c r="C42" s="2">
        <v>1.1985300000000001</v>
      </c>
      <c r="D42" s="2">
        <v>329.71510000000001</v>
      </c>
      <c r="E42" s="2">
        <v>0.44195000000000001</v>
      </c>
      <c r="F42" s="2">
        <v>2.03776</v>
      </c>
      <c r="G42" s="2">
        <v>1596.2716499999999</v>
      </c>
      <c r="H42" s="2">
        <v>0.42777999999999999</v>
      </c>
      <c r="I42" s="2">
        <f t="shared" si="7"/>
        <v>0.44298224553446153</v>
      </c>
      <c r="J42" s="2">
        <f t="shared" si="8"/>
        <v>331.25710433178455</v>
      </c>
      <c r="K42" s="2">
        <v>0.60780000000000001</v>
      </c>
      <c r="L42" s="2">
        <v>1.1000000000000001</v>
      </c>
      <c r="M42" s="2">
        <v>58.482399999999998</v>
      </c>
      <c r="N42" s="2">
        <f t="shared" si="0"/>
        <v>254.21780638725778</v>
      </c>
      <c r="O42">
        <v>5.718006211180124E-3</v>
      </c>
      <c r="P42">
        <v>1.003565617977528E-2</v>
      </c>
      <c r="Q42">
        <v>0.13188912462908015</v>
      </c>
      <c r="R42">
        <v>10</v>
      </c>
    </row>
    <row r="43" spans="1:21">
      <c r="A43" s="2">
        <v>20.420000000000002</v>
      </c>
      <c r="B43" s="2">
        <v>101000</v>
      </c>
      <c r="C43" s="2">
        <v>1.1985300000000001</v>
      </c>
      <c r="D43" s="2">
        <v>315.21780999999999</v>
      </c>
      <c r="E43" s="2">
        <v>0.46749000000000002</v>
      </c>
      <c r="F43" s="2">
        <v>2.05768</v>
      </c>
      <c r="G43" s="2">
        <v>1595.8354200000001</v>
      </c>
      <c r="H43" s="2">
        <v>0.42853999999999998</v>
      </c>
      <c r="I43" s="2">
        <f t="shared" si="7"/>
        <v>0.46870998765023025</v>
      </c>
      <c r="J43" s="2">
        <f t="shared" si="8"/>
        <v>316.86517624186581</v>
      </c>
      <c r="K43" s="2">
        <v>0.60750000000000004</v>
      </c>
      <c r="L43" s="2">
        <v>1</v>
      </c>
      <c r="M43" s="2">
        <v>58.482399999999998</v>
      </c>
      <c r="N43" s="2">
        <f t="shared" si="0"/>
        <v>284.72996070590642</v>
      </c>
      <c r="O43">
        <v>5.1421645962732914E-3</v>
      </c>
      <c r="P43">
        <v>1.0847137078651686E-2</v>
      </c>
      <c r="Q43">
        <v>0.13012860237388729</v>
      </c>
      <c r="R43">
        <v>0</v>
      </c>
    </row>
    <row r="44" spans="1:21">
      <c r="A44" s="2">
        <v>20.420000000000002</v>
      </c>
      <c r="B44" s="2">
        <v>101000</v>
      </c>
      <c r="C44" s="2">
        <v>1.1985300000000001</v>
      </c>
      <c r="D44" s="2">
        <v>288.04791999999998</v>
      </c>
      <c r="E44" s="2">
        <v>0.51273000000000002</v>
      </c>
      <c r="F44" s="2">
        <v>2.0740400000000001</v>
      </c>
      <c r="G44" s="2">
        <v>1595.63141</v>
      </c>
      <c r="H44" s="2">
        <v>0.42615999999999998</v>
      </c>
      <c r="I44" s="2">
        <f t="shared" si="7"/>
        <v>0.51413377479201172</v>
      </c>
      <c r="J44" s="2">
        <f t="shared" si="8"/>
        <v>289.6273397283116</v>
      </c>
      <c r="K44" s="2">
        <v>0.60699999999999998</v>
      </c>
      <c r="L44" s="2">
        <v>1</v>
      </c>
      <c r="M44" s="2">
        <v>58.482399999999998</v>
      </c>
      <c r="N44" s="2">
        <f t="shared" si="0"/>
        <v>343.06874798381591</v>
      </c>
      <c r="O44">
        <v>6.3039503105590056E-3</v>
      </c>
      <c r="P44">
        <v>1.116556629213483E-2</v>
      </c>
      <c r="Q44">
        <v>0.13199915727002967</v>
      </c>
      <c r="R44" t="s">
        <v>10</v>
      </c>
    </row>
    <row r="45" spans="1:21">
      <c r="A45" s="2">
        <v>20.32</v>
      </c>
      <c r="B45" s="2">
        <v>101000</v>
      </c>
      <c r="C45" s="2">
        <v>1.1989399999999999</v>
      </c>
      <c r="D45" s="2">
        <v>416.76204999999999</v>
      </c>
      <c r="E45" s="2">
        <v>0.24765999999999999</v>
      </c>
      <c r="F45" s="2">
        <v>1.6625399999999999</v>
      </c>
      <c r="G45" s="2">
        <v>1603.5549599999999</v>
      </c>
      <c r="H45" s="2">
        <v>0.36969999999999997</v>
      </c>
      <c r="I45" s="2">
        <f t="shared" si="7"/>
        <v>0.24711095652125326</v>
      </c>
      <c r="J45" s="2">
        <f t="shared" si="8"/>
        <v>414.91623842856347</v>
      </c>
      <c r="K45" s="2">
        <v>0.61129999999999995</v>
      </c>
      <c r="L45" s="2">
        <v>2</v>
      </c>
      <c r="M45" s="2">
        <v>58.482399999999998</v>
      </c>
      <c r="N45" s="2">
        <f t="shared" si="0"/>
        <v>79.000465287077645</v>
      </c>
      <c r="O45">
        <v>5.4957515527950312E-3</v>
      </c>
      <c r="P45">
        <v>1.1011487640449439E-2</v>
      </c>
      <c r="Q45">
        <v>0.13673056083086058</v>
      </c>
      <c r="R45">
        <v>40</v>
      </c>
      <c r="S45" t="s">
        <v>14</v>
      </c>
      <c r="T45" t="s">
        <v>15</v>
      </c>
      <c r="U45" s="1">
        <f>100*(H39-H45)/H39</f>
        <v>0.42019070193395625</v>
      </c>
    </row>
    <row r="46" spans="1:2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S46" t="s">
        <v>11</v>
      </c>
    </row>
    <row r="47" spans="1:21">
      <c r="A47" s="2">
        <v>20.32</v>
      </c>
      <c r="B47" s="2">
        <v>101000</v>
      </c>
      <c r="C47" s="2">
        <v>1.1989399999999999</v>
      </c>
      <c r="D47" s="2">
        <v>430.12229000000002</v>
      </c>
      <c r="E47" s="2">
        <v>3.6400000000000002E-2</v>
      </c>
      <c r="F47" s="2">
        <v>0.77093</v>
      </c>
      <c r="G47" s="2">
        <v>1489.9860000000001</v>
      </c>
      <c r="H47" s="2">
        <v>0.13016</v>
      </c>
      <c r="I47" s="2">
        <f>E47*1480/G47</f>
        <v>3.6156044419209304E-2</v>
      </c>
      <c r="J47" s="2">
        <f>D47*(1480/G47)^2</f>
        <v>424.37618526520043</v>
      </c>
      <c r="K47" s="2">
        <v>0.6351</v>
      </c>
      <c r="L47" s="2">
        <v>71.400000000000006</v>
      </c>
      <c r="M47" s="2">
        <v>53.78</v>
      </c>
      <c r="N47" s="2">
        <f t="shared" si="0"/>
        <v>1.5810486925382818</v>
      </c>
      <c r="O47">
        <v>8.8497763975155276E-3</v>
      </c>
      <c r="P47">
        <v>2.928889811320755E-3</v>
      </c>
      <c r="Q47">
        <v>9.8619255192878355E-2</v>
      </c>
      <c r="R47">
        <v>90</v>
      </c>
    </row>
    <row r="48" spans="1:21">
      <c r="A48" s="2">
        <v>20.32</v>
      </c>
      <c r="B48" s="2">
        <v>101000</v>
      </c>
      <c r="C48" s="2">
        <v>1.1989399999999999</v>
      </c>
      <c r="D48" s="2">
        <v>390.64972999999998</v>
      </c>
      <c r="E48" s="2">
        <v>9.3590000000000007E-2</v>
      </c>
      <c r="F48" s="2">
        <v>1.0269999999999999</v>
      </c>
      <c r="G48" s="2">
        <v>1486.18948</v>
      </c>
      <c r="H48" s="2">
        <v>0.22874</v>
      </c>
      <c r="I48" s="2">
        <f t="shared" ref="I48:I56" si="9">E48*1480/G48</f>
        <v>9.3200229085190406E-2</v>
      </c>
      <c r="J48" s="2">
        <f t="shared" ref="J48:J56" si="10">D48*(1480/G48)^2</f>
        <v>387.40265576928437</v>
      </c>
      <c r="K48" s="2">
        <v>0.62009999999999998</v>
      </c>
      <c r="L48" s="2">
        <v>13.1</v>
      </c>
      <c r="M48" s="2">
        <v>53.78</v>
      </c>
      <c r="N48" s="2">
        <f t="shared" si="0"/>
        <v>10.96382602288619</v>
      </c>
      <c r="O48">
        <v>4.7380652173913042E-3</v>
      </c>
      <c r="P48">
        <v>2.8771426415094342E-3</v>
      </c>
      <c r="Q48">
        <v>8.6750420895522401E-2</v>
      </c>
      <c r="R48">
        <v>60</v>
      </c>
    </row>
    <row r="49" spans="1:21">
      <c r="A49" s="2">
        <v>20.32</v>
      </c>
      <c r="B49" s="2">
        <v>101000</v>
      </c>
      <c r="C49" s="2">
        <v>1.1989399999999999</v>
      </c>
      <c r="D49" s="2">
        <v>374.19704999999999</v>
      </c>
      <c r="E49" s="2">
        <v>0.15401000000000001</v>
      </c>
      <c r="F49" s="2">
        <v>1.21106</v>
      </c>
      <c r="G49" s="2">
        <v>1483.2993100000001</v>
      </c>
      <c r="H49" s="2">
        <v>0.30635000000000001</v>
      </c>
      <c r="I49" s="2">
        <f t="shared" si="9"/>
        <v>0.15366743479439765</v>
      </c>
      <c r="J49" s="2">
        <f t="shared" si="10"/>
        <v>372.53424464966338</v>
      </c>
      <c r="K49" s="2">
        <v>0.61509999999999998</v>
      </c>
      <c r="L49" s="2">
        <v>4.8</v>
      </c>
      <c r="M49" s="2">
        <v>53.78</v>
      </c>
      <c r="N49" s="2">
        <f t="shared" si="0"/>
        <v>30.174014258702794</v>
      </c>
      <c r="O49">
        <v>5.0512422360248447E-3</v>
      </c>
      <c r="P49">
        <v>3.1151796226415091E-3</v>
      </c>
      <c r="Q49">
        <v>8.960822388059704E-2</v>
      </c>
      <c r="R49">
        <v>50</v>
      </c>
    </row>
    <row r="50" spans="1:21">
      <c r="A50" s="2">
        <v>20.32</v>
      </c>
      <c r="B50" s="2">
        <v>101000</v>
      </c>
      <c r="C50" s="2">
        <v>1.1989399999999999</v>
      </c>
      <c r="D50" s="2">
        <v>354.90848999999997</v>
      </c>
      <c r="E50" s="2">
        <v>0.22814999999999999</v>
      </c>
      <c r="F50" s="2">
        <v>1.4330700000000001</v>
      </c>
      <c r="G50" s="2">
        <v>1480.06548</v>
      </c>
      <c r="H50" s="2">
        <v>0.36454999999999999</v>
      </c>
      <c r="I50" s="2">
        <f t="shared" si="9"/>
        <v>0.22813990635062983</v>
      </c>
      <c r="J50" s="2">
        <f t="shared" si="10"/>
        <v>354.87708747873512</v>
      </c>
      <c r="K50" s="2">
        <v>0.6119</v>
      </c>
      <c r="L50" s="2">
        <v>2.2999999999999998</v>
      </c>
      <c r="M50" s="2">
        <v>53.78</v>
      </c>
      <c r="N50" s="2">
        <f t="shared" si="0"/>
        <v>66.912420959342143</v>
      </c>
      <c r="O50">
        <v>5.0007298136645964E-3</v>
      </c>
      <c r="P50">
        <v>4.2743162264150944E-3</v>
      </c>
      <c r="Q50">
        <v>8.628753731343286E-2</v>
      </c>
      <c r="R50">
        <v>40</v>
      </c>
    </row>
    <row r="51" spans="1:21">
      <c r="A51" s="2">
        <v>20.32</v>
      </c>
      <c r="B51" s="2">
        <v>101000</v>
      </c>
      <c r="C51" s="2">
        <v>1.1989399999999999</v>
      </c>
      <c r="D51" s="2">
        <v>327.18779000000001</v>
      </c>
      <c r="E51" s="2">
        <v>0.30764000000000002</v>
      </c>
      <c r="F51" s="2">
        <v>1.6184000000000001</v>
      </c>
      <c r="G51" s="2">
        <v>1476.8879099999999</v>
      </c>
      <c r="H51" s="2">
        <v>0.40212999999999999</v>
      </c>
      <c r="I51" s="2">
        <f t="shared" si="9"/>
        <v>0.3082882572990932</v>
      </c>
      <c r="J51" s="2">
        <f t="shared" si="10"/>
        <v>328.56813938880515</v>
      </c>
      <c r="K51" s="2">
        <v>0.60980000000000001</v>
      </c>
      <c r="L51" s="2">
        <v>1.5</v>
      </c>
      <c r="M51" s="2">
        <v>53.78</v>
      </c>
      <c r="N51" s="2">
        <f t="shared" si="0"/>
        <v>122.50038929821845</v>
      </c>
      <c r="O51">
        <v>5.3947267080745338E-3</v>
      </c>
      <c r="P51">
        <v>5.1850664150943394E-3</v>
      </c>
      <c r="Q51">
        <v>8.7223367164179111E-2</v>
      </c>
      <c r="R51">
        <v>30</v>
      </c>
    </row>
    <row r="52" spans="1:21">
      <c r="A52" s="2">
        <v>20.32</v>
      </c>
      <c r="B52" s="2">
        <v>101000</v>
      </c>
      <c r="C52" s="2">
        <v>1.1989399999999999</v>
      </c>
      <c r="D52" s="2">
        <v>301.62128999999999</v>
      </c>
      <c r="E52" s="2">
        <v>0.36774000000000001</v>
      </c>
      <c r="F52" s="2">
        <v>1.71465</v>
      </c>
      <c r="G52" s="2">
        <v>1475.8380400000001</v>
      </c>
      <c r="H52" s="2">
        <v>0.41855999999999999</v>
      </c>
      <c r="I52" s="2">
        <f t="shared" si="9"/>
        <v>0.36877705090187268</v>
      </c>
      <c r="J52" s="2">
        <f t="shared" si="10"/>
        <v>303.32487233707718</v>
      </c>
      <c r="K52" s="2">
        <v>0.60880000000000001</v>
      </c>
      <c r="L52" s="2">
        <v>1.2</v>
      </c>
      <c r="M52" s="2">
        <v>53.78</v>
      </c>
      <c r="N52" s="2">
        <f t="shared" si="0"/>
        <v>175.61400989355167</v>
      </c>
      <c r="O52">
        <v>4.5764254658385095E-3</v>
      </c>
      <c r="P52">
        <v>7.5240384905660377E-3</v>
      </c>
      <c r="Q52">
        <v>9.099687462686569E-2</v>
      </c>
      <c r="R52">
        <v>20</v>
      </c>
    </row>
    <row r="53" spans="1:21">
      <c r="A53" s="2">
        <v>20.32</v>
      </c>
      <c r="B53" s="2">
        <v>101000</v>
      </c>
      <c r="C53" s="2">
        <v>1.1989399999999999</v>
      </c>
      <c r="D53" s="2">
        <v>282.72437000000002</v>
      </c>
      <c r="E53" s="2">
        <v>0.40733000000000003</v>
      </c>
      <c r="F53" s="2">
        <v>1.7597400000000001</v>
      </c>
      <c r="G53" s="2">
        <v>1474.9031299999999</v>
      </c>
      <c r="H53" s="2">
        <v>0.42370999999999998</v>
      </c>
      <c r="I53" s="2">
        <f t="shared" si="9"/>
        <v>0.40873762333123542</v>
      </c>
      <c r="J53" s="2">
        <f t="shared" si="10"/>
        <v>284.68178564509122</v>
      </c>
      <c r="K53" s="2">
        <v>0.60819999999999996</v>
      </c>
      <c r="L53" s="2">
        <v>1.2</v>
      </c>
      <c r="M53" s="2">
        <v>53.78</v>
      </c>
      <c r="N53" s="2">
        <f t="shared" si="0"/>
        <v>215.88708699599121</v>
      </c>
      <c r="O53">
        <v>5.1623695652173911E-3</v>
      </c>
      <c r="P53">
        <v>9.1695984905660367E-3</v>
      </c>
      <c r="Q53">
        <v>8.5834716417910462E-2</v>
      </c>
      <c r="R53">
        <v>10</v>
      </c>
    </row>
    <row r="54" spans="1:21">
      <c r="A54" s="2">
        <v>20.32</v>
      </c>
      <c r="B54" s="2">
        <v>101000</v>
      </c>
      <c r="C54" s="2">
        <v>1.1989399999999999</v>
      </c>
      <c r="D54" s="2">
        <v>269.75659999999999</v>
      </c>
      <c r="E54" s="2">
        <v>0.43331999999999998</v>
      </c>
      <c r="F54" s="2">
        <v>1.7824</v>
      </c>
      <c r="G54" s="2">
        <v>1474.5738699999999</v>
      </c>
      <c r="H54" s="2">
        <v>0.42470000000000002</v>
      </c>
      <c r="I54" s="2">
        <f t="shared" si="9"/>
        <v>0.43491452890047483</v>
      </c>
      <c r="J54" s="2">
        <f t="shared" si="10"/>
        <v>271.7455508843741</v>
      </c>
      <c r="K54" s="2">
        <v>0.60799999999999998</v>
      </c>
      <c r="L54" s="2">
        <v>1.1000000000000001</v>
      </c>
      <c r="M54" s="2">
        <v>53.78</v>
      </c>
      <c r="N54" s="2">
        <f t="shared" si="0"/>
        <v>244.47644061695172</v>
      </c>
      <c r="O54">
        <v>4.6471428571428566E-3</v>
      </c>
      <c r="P54">
        <v>8.0415101886792441E-3</v>
      </c>
      <c r="Q54">
        <v>8.4254874626865692E-2</v>
      </c>
      <c r="R54">
        <v>0</v>
      </c>
    </row>
    <row r="55" spans="1:21">
      <c r="A55" s="2">
        <v>20.32</v>
      </c>
      <c r="B55" s="2">
        <v>101000</v>
      </c>
      <c r="C55" s="2">
        <v>1.1989399999999999</v>
      </c>
      <c r="D55" s="2">
        <v>246.55668</v>
      </c>
      <c r="E55" s="2">
        <v>0.47538999999999998</v>
      </c>
      <c r="F55" s="2">
        <v>1.7966500000000001</v>
      </c>
      <c r="G55" s="2">
        <v>1474.32954</v>
      </c>
      <c r="H55" s="2">
        <v>0.42254999999999998</v>
      </c>
      <c r="I55" s="2">
        <f t="shared" si="9"/>
        <v>0.47721841074960758</v>
      </c>
      <c r="J55" s="2">
        <f t="shared" si="10"/>
        <v>248.4569042982402</v>
      </c>
      <c r="K55" s="2">
        <v>0.60740000000000005</v>
      </c>
      <c r="L55" s="2">
        <v>1</v>
      </c>
      <c r="M55" s="2">
        <v>53.78</v>
      </c>
      <c r="N55" s="2">
        <f t="shared" si="0"/>
        <v>294.83376086371561</v>
      </c>
      <c r="O55">
        <v>3.9702763975155283E-3</v>
      </c>
      <c r="P55">
        <v>6.8823735849056593E-3</v>
      </c>
      <c r="Q55">
        <v>9.1882391044776149E-2</v>
      </c>
      <c r="R55" t="s">
        <v>10</v>
      </c>
    </row>
    <row r="56" spans="1:21">
      <c r="A56" s="2">
        <v>20.32</v>
      </c>
      <c r="B56" s="2">
        <v>101000</v>
      </c>
      <c r="C56" s="2">
        <v>1.1989399999999999</v>
      </c>
      <c r="D56" s="2">
        <v>327.35388</v>
      </c>
      <c r="E56" s="2">
        <v>0.30692000000000003</v>
      </c>
      <c r="F56" s="2">
        <v>1.62134</v>
      </c>
      <c r="G56" s="2">
        <v>1477.21407</v>
      </c>
      <c r="H56" s="2">
        <v>0.40057999999999999</v>
      </c>
      <c r="I56" s="2">
        <f t="shared" si="9"/>
        <v>0.30749883122897692</v>
      </c>
      <c r="J56" s="2">
        <f t="shared" si="10"/>
        <v>328.58978072115474</v>
      </c>
      <c r="K56" s="2">
        <v>0.60970000000000002</v>
      </c>
      <c r="L56" s="2">
        <v>1.5</v>
      </c>
      <c r="M56" s="2">
        <v>53.78</v>
      </c>
      <c r="N56" s="2">
        <f t="shared" si="0"/>
        <v>121.96766022207318</v>
      </c>
      <c r="O56">
        <v>5.2128819875776394E-3</v>
      </c>
      <c r="P56">
        <v>1.0856556226415093E-2</v>
      </c>
      <c r="Q56">
        <v>9.0715119402985087E-2</v>
      </c>
      <c r="R56">
        <v>30</v>
      </c>
      <c r="S56" t="s">
        <v>14</v>
      </c>
      <c r="T56" t="s">
        <v>15</v>
      </c>
      <c r="U56" s="1">
        <f>100*(H51-H56)/H51</f>
        <v>0.38544749210454227</v>
      </c>
    </row>
    <row r="57" spans="1:2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S57" t="s">
        <v>11</v>
      </c>
    </row>
    <row r="58" spans="1:21">
      <c r="A58" s="2">
        <v>20.32</v>
      </c>
      <c r="B58" s="2">
        <v>101000</v>
      </c>
      <c r="C58" s="2">
        <v>1.1989399999999999</v>
      </c>
      <c r="D58" s="2">
        <v>357.5675</v>
      </c>
      <c r="E58" s="2">
        <v>3.5549999999999998E-2</v>
      </c>
      <c r="F58" s="2">
        <v>0.66803000000000001</v>
      </c>
      <c r="G58" s="2">
        <v>1357.96082</v>
      </c>
      <c r="H58" s="2">
        <v>0.13378999999999999</v>
      </c>
      <c r="I58" s="2">
        <f>E58*1350/G58</f>
        <v>3.5341594023309157E-2</v>
      </c>
      <c r="J58" s="2">
        <f>D58*(1350/G58)^2</f>
        <v>353.38742822304187</v>
      </c>
      <c r="K58" s="2">
        <v>0.63349999999999995</v>
      </c>
      <c r="L58" s="2">
        <v>66.7</v>
      </c>
      <c r="M58" s="2">
        <v>49</v>
      </c>
      <c r="N58" s="2">
        <f t="shared" si="0"/>
        <v>1.5156979919650064</v>
      </c>
      <c r="O58">
        <v>7.3344037267080745E-3</v>
      </c>
      <c r="P58">
        <v>3.0737818867924531E-3</v>
      </c>
      <c r="Q58">
        <v>0.11523886829268296</v>
      </c>
      <c r="R58">
        <v>90</v>
      </c>
    </row>
    <row r="59" spans="1:21">
      <c r="A59" s="2">
        <v>20.32</v>
      </c>
      <c r="B59" s="2">
        <v>101000</v>
      </c>
      <c r="C59" s="2">
        <v>1.1989399999999999</v>
      </c>
      <c r="D59" s="2">
        <v>325.04462000000001</v>
      </c>
      <c r="E59" s="2">
        <v>8.4970000000000004E-2</v>
      </c>
      <c r="F59" s="2">
        <v>0.87314999999999998</v>
      </c>
      <c r="G59" s="2">
        <v>1355.1747700000001</v>
      </c>
      <c r="H59" s="2">
        <v>0.22289999999999999</v>
      </c>
      <c r="I59" s="2">
        <f t="shared" ref="I59:I67" si="11">E59*1350/G59</f>
        <v>8.4645539851660609E-2</v>
      </c>
      <c r="J59" s="2">
        <f t="shared" ref="J59:J67" si="12">D59*(1350/G59)^2</f>
        <v>322.56697690093392</v>
      </c>
      <c r="K59" s="2">
        <v>0.62170000000000003</v>
      </c>
      <c r="L59" s="2">
        <v>15.9</v>
      </c>
      <c r="M59" s="2">
        <v>49</v>
      </c>
      <c r="N59" s="2">
        <f t="shared" si="0"/>
        <v>8.9907558718841081</v>
      </c>
      <c r="O59">
        <v>5.7079037267080742E-3</v>
      </c>
      <c r="P59">
        <v>3.0737818867924531E-3</v>
      </c>
      <c r="Q59">
        <v>0.10447468975609758</v>
      </c>
      <c r="R59">
        <v>60</v>
      </c>
    </row>
    <row r="60" spans="1:21">
      <c r="A60" s="2">
        <v>20.32</v>
      </c>
      <c r="B60" s="2">
        <v>101000</v>
      </c>
      <c r="C60" s="2">
        <v>1.1989399999999999</v>
      </c>
      <c r="D60" s="2">
        <v>311.96312</v>
      </c>
      <c r="E60" s="2">
        <v>0.13419</v>
      </c>
      <c r="F60" s="2">
        <v>1.01522</v>
      </c>
      <c r="G60" s="2">
        <v>1353.27595</v>
      </c>
      <c r="H60" s="2">
        <v>0.29097000000000001</v>
      </c>
      <c r="I60" s="2">
        <f t="shared" si="11"/>
        <v>0.13386515883918576</v>
      </c>
      <c r="J60" s="2">
        <f t="shared" si="12"/>
        <v>310.45457533616781</v>
      </c>
      <c r="K60" s="2">
        <v>0.61639999999999995</v>
      </c>
      <c r="L60" s="2">
        <v>6.3</v>
      </c>
      <c r="M60" s="2">
        <v>49</v>
      </c>
      <c r="N60" s="2">
        <f t="shared" si="0"/>
        <v>22.810864736476546</v>
      </c>
      <c r="O60">
        <v>5.9200559006211181E-3</v>
      </c>
      <c r="P60">
        <v>3.0530830188679244E-3</v>
      </c>
      <c r="Q60">
        <v>9.7854374634146368E-2</v>
      </c>
      <c r="R60">
        <v>50</v>
      </c>
    </row>
    <row r="61" spans="1:21">
      <c r="A61" s="2">
        <v>20.32</v>
      </c>
      <c r="B61" s="2">
        <v>101000</v>
      </c>
      <c r="C61" s="2">
        <v>1.1989399999999999</v>
      </c>
      <c r="D61" s="2">
        <v>297.01504</v>
      </c>
      <c r="E61" s="2">
        <v>0.20354</v>
      </c>
      <c r="F61" s="2">
        <v>1.2081599999999999</v>
      </c>
      <c r="G61" s="2">
        <v>1350.7600199999999</v>
      </c>
      <c r="H61" s="2">
        <v>0.35375000000000001</v>
      </c>
      <c r="I61" s="2">
        <f t="shared" si="11"/>
        <v>0.20342547597759075</v>
      </c>
      <c r="J61" s="2">
        <f t="shared" si="12"/>
        <v>296.68089646517433</v>
      </c>
      <c r="K61" s="2">
        <v>0.61270000000000002</v>
      </c>
      <c r="L61" s="2">
        <v>2.8</v>
      </c>
      <c r="M61" s="2">
        <v>49</v>
      </c>
      <c r="N61" s="2">
        <f t="shared" si="0"/>
        <v>53.11662632585336</v>
      </c>
      <c r="O61">
        <v>4.9502173913043481E-3</v>
      </c>
      <c r="P61">
        <v>3.9431343396226417E-3</v>
      </c>
      <c r="Q61">
        <v>9.2082564878048792E-2</v>
      </c>
      <c r="R61">
        <v>40</v>
      </c>
    </row>
    <row r="62" spans="1:21">
      <c r="A62" s="2">
        <v>20.32</v>
      </c>
      <c r="B62" s="2">
        <v>101000</v>
      </c>
      <c r="C62" s="2">
        <v>1.1989399999999999</v>
      </c>
      <c r="D62" s="2">
        <v>272.87428</v>
      </c>
      <c r="E62" s="2">
        <v>0.28195999999999999</v>
      </c>
      <c r="F62" s="2">
        <v>1.3749100000000001</v>
      </c>
      <c r="G62" s="2">
        <v>1348.46272</v>
      </c>
      <c r="H62" s="2">
        <v>0.39628999999999998</v>
      </c>
      <c r="I62" s="2">
        <f t="shared" si="11"/>
        <v>0.28228144119549703</v>
      </c>
      <c r="J62" s="2">
        <f t="shared" si="12"/>
        <v>273.49680115385451</v>
      </c>
      <c r="K62" s="2">
        <v>0.61040000000000005</v>
      </c>
      <c r="L62" s="2">
        <v>1.7</v>
      </c>
      <c r="M62" s="2">
        <v>49</v>
      </c>
      <c r="N62" s="2">
        <f t="shared" si="0"/>
        <v>102.70052352396266</v>
      </c>
      <c r="O62">
        <v>4.2531459627329184E-3</v>
      </c>
      <c r="P62">
        <v>4.2122196226415092E-3</v>
      </c>
      <c r="Q62">
        <v>9.352305073170733E-2</v>
      </c>
      <c r="R62">
        <v>30</v>
      </c>
    </row>
    <row r="63" spans="1:21">
      <c r="A63" s="2">
        <v>20.32</v>
      </c>
      <c r="B63" s="2">
        <v>101000</v>
      </c>
      <c r="C63" s="2">
        <v>1.1989399999999999</v>
      </c>
      <c r="D63" s="2">
        <v>251.87350000000001</v>
      </c>
      <c r="E63" s="2">
        <v>0.33681</v>
      </c>
      <c r="F63" s="2">
        <v>1.4553400000000001</v>
      </c>
      <c r="G63" s="2">
        <v>1347.30981</v>
      </c>
      <c r="H63" s="2">
        <v>0.41315000000000002</v>
      </c>
      <c r="I63" s="2">
        <f t="shared" si="11"/>
        <v>0.3374825126523795</v>
      </c>
      <c r="J63" s="2">
        <f t="shared" si="12"/>
        <v>252.88034198932115</v>
      </c>
      <c r="K63" s="2">
        <v>0.60929999999999995</v>
      </c>
      <c r="L63" s="2">
        <v>1.3</v>
      </c>
      <c r="M63" s="2">
        <v>49</v>
      </c>
      <c r="N63" s="2">
        <f t="shared" si="0"/>
        <v>147.07345743741857</v>
      </c>
      <c r="O63">
        <v>4.6673478260869563E-3</v>
      </c>
      <c r="P63">
        <v>9.4593826415094347E-3</v>
      </c>
      <c r="Q63">
        <v>8.4860402926829281E-2</v>
      </c>
      <c r="R63">
        <v>20</v>
      </c>
    </row>
    <row r="64" spans="1:21">
      <c r="A64" s="2">
        <v>20.32</v>
      </c>
      <c r="B64" s="2">
        <v>101000</v>
      </c>
      <c r="C64" s="2">
        <v>1.1989399999999999</v>
      </c>
      <c r="D64" s="2">
        <v>234.94211999999999</v>
      </c>
      <c r="E64" s="2">
        <v>0.37575999999999998</v>
      </c>
      <c r="F64" s="2">
        <v>1.49647</v>
      </c>
      <c r="G64" s="2">
        <v>1346.74332</v>
      </c>
      <c r="H64" s="2">
        <v>0.41831000000000002</v>
      </c>
      <c r="I64" s="2">
        <f t="shared" si="11"/>
        <v>0.37666865873149452</v>
      </c>
      <c r="J64" s="2">
        <f t="shared" si="12"/>
        <v>236.0797627981031</v>
      </c>
      <c r="K64" s="2">
        <v>0.60860000000000003</v>
      </c>
      <c r="L64" s="2">
        <v>1.2</v>
      </c>
      <c r="M64" s="2">
        <v>49</v>
      </c>
      <c r="N64" s="2">
        <f t="shared" si="0"/>
        <v>183.47795961058196</v>
      </c>
      <c r="O64">
        <v>4.9300124223602484E-3</v>
      </c>
      <c r="P64">
        <v>8.5072347169811314E-3</v>
      </c>
      <c r="Q64">
        <v>9.4489952195121962E-2</v>
      </c>
      <c r="R64">
        <v>10</v>
      </c>
    </row>
    <row r="65" spans="1:21">
      <c r="A65" s="2">
        <v>20.32</v>
      </c>
      <c r="B65" s="2">
        <v>101000</v>
      </c>
      <c r="C65" s="2">
        <v>1.1989399999999999</v>
      </c>
      <c r="D65" s="2">
        <v>225.38140000000001</v>
      </c>
      <c r="E65" s="2">
        <v>0.39692</v>
      </c>
      <c r="F65" s="2">
        <v>1.5142899999999999</v>
      </c>
      <c r="G65" s="2">
        <v>1346.5365099999999</v>
      </c>
      <c r="H65" s="2">
        <v>0.41894999999999999</v>
      </c>
      <c r="I65" s="2">
        <f t="shared" si="11"/>
        <v>0.3979409366330513</v>
      </c>
      <c r="J65" s="2">
        <f t="shared" si="12"/>
        <v>226.54231934575338</v>
      </c>
      <c r="K65" s="2">
        <v>0.60840000000000005</v>
      </c>
      <c r="L65" s="2">
        <v>1.1000000000000001</v>
      </c>
      <c r="M65" s="2">
        <v>49</v>
      </c>
      <c r="N65" s="2">
        <f t="shared" si="0"/>
        <v>204.85862723126431</v>
      </c>
      <c r="O65">
        <v>5.2835993788819874E-3</v>
      </c>
      <c r="P65">
        <v>6.1372143396226419E-3</v>
      </c>
      <c r="Q65">
        <v>9.177670829268296E-2</v>
      </c>
      <c r="R65">
        <v>0</v>
      </c>
    </row>
    <row r="66" spans="1:21">
      <c r="A66" s="2">
        <v>20.32</v>
      </c>
      <c r="B66" s="2">
        <v>101000</v>
      </c>
      <c r="C66" s="2">
        <v>1.1989399999999999</v>
      </c>
      <c r="D66" s="2">
        <v>205.99582000000001</v>
      </c>
      <c r="E66" s="2">
        <v>0.43525000000000003</v>
      </c>
      <c r="F66" s="2">
        <v>1.52573</v>
      </c>
      <c r="G66" s="2">
        <v>1346.3198400000001</v>
      </c>
      <c r="H66" s="2">
        <v>0.41682000000000002</v>
      </c>
      <c r="I66" s="2">
        <f t="shared" si="11"/>
        <v>0.43643975416718217</v>
      </c>
      <c r="J66" s="2">
        <f t="shared" si="12"/>
        <v>207.12353673231397</v>
      </c>
      <c r="K66" s="2">
        <v>0.6079</v>
      </c>
      <c r="L66" s="2">
        <v>1.1000000000000001</v>
      </c>
      <c r="M66" s="2">
        <v>49</v>
      </c>
      <c r="N66" s="2">
        <f t="shared" si="0"/>
        <v>246.74023632741373</v>
      </c>
      <c r="O66">
        <v>4.5158105590062114E-3</v>
      </c>
      <c r="P66">
        <v>7.7413766037735853E-3</v>
      </c>
      <c r="Q66">
        <v>8.920159317073173E-2</v>
      </c>
      <c r="R66" t="s">
        <v>10</v>
      </c>
    </row>
    <row r="67" spans="1:21">
      <c r="A67" s="2">
        <v>20.32</v>
      </c>
      <c r="B67" s="2">
        <v>101000</v>
      </c>
      <c r="C67" s="2">
        <v>1.1989399999999999</v>
      </c>
      <c r="D67" s="2">
        <v>297.13925999999998</v>
      </c>
      <c r="E67" s="2">
        <v>0.20250000000000001</v>
      </c>
      <c r="F67" s="2">
        <v>1.20957</v>
      </c>
      <c r="G67" s="2">
        <v>1350.6524899999999</v>
      </c>
      <c r="H67" s="2">
        <v>0.35171000000000002</v>
      </c>
      <c r="I67" s="2">
        <f t="shared" si="11"/>
        <v>0.20240217378194744</v>
      </c>
      <c r="J67" s="2">
        <f t="shared" si="12"/>
        <v>296.85223788866307</v>
      </c>
      <c r="K67" s="2">
        <v>0.61219999999999997</v>
      </c>
      <c r="L67" s="2">
        <v>2.5</v>
      </c>
      <c r="M67" s="2">
        <v>49</v>
      </c>
      <c r="N67" s="2">
        <f t="shared" ref="N67" si="13">(E67*C67*4*SQRT(1-(0.215/0.3)^4)/(K67*PI()*0.215^2))^2*C67/2</f>
        <v>52.661122020530598</v>
      </c>
      <c r="O67">
        <v>3.929866459627329E-3</v>
      </c>
      <c r="P67">
        <v>4.3053645283018865E-3</v>
      </c>
      <c r="Q67">
        <v>9.0602613658536599E-2</v>
      </c>
      <c r="R67">
        <v>40</v>
      </c>
      <c r="S67" t="s">
        <v>14</v>
      </c>
      <c r="T67" t="s">
        <v>15</v>
      </c>
      <c r="U67" s="1">
        <f>100*(H61-H67)/H61</f>
        <v>0.57667844522967804</v>
      </c>
    </row>
    <row r="69" spans="1:21">
      <c r="G69" t="s">
        <v>16</v>
      </c>
      <c r="H69">
        <f>MAXA(H3:H67)</f>
        <v>0.43745000000000001</v>
      </c>
    </row>
  </sheetData>
  <pageMargins left="0.7" right="0.7" top="3.54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67"/>
  <sheetViews>
    <sheetView tabSelected="1" zoomScale="55" zoomScaleNormal="55" workbookViewId="0">
      <selection activeCell="P20" sqref="P20"/>
    </sheetView>
  </sheetViews>
  <sheetFormatPr baseColWidth="10" defaultRowHeight="15"/>
  <sheetData>
    <row r="1" spans="1:28" ht="15.75" thickBot="1">
      <c r="K1" t="s">
        <v>20</v>
      </c>
      <c r="O1" t="s">
        <v>21</v>
      </c>
      <c r="S1" t="s">
        <v>22</v>
      </c>
      <c r="W1" t="s">
        <v>23</v>
      </c>
      <c r="AB1" t="s">
        <v>24</v>
      </c>
    </row>
    <row r="2" spans="1:28" ht="15.75" thickBot="1">
      <c r="B2" s="3" t="s">
        <v>25</v>
      </c>
      <c r="C2" s="4" t="s">
        <v>26</v>
      </c>
      <c r="D2" s="4"/>
      <c r="E2" s="4" t="s">
        <v>27</v>
      </c>
      <c r="F2" s="4" t="s">
        <v>28</v>
      </c>
      <c r="H2" s="5"/>
      <c r="I2" s="5"/>
      <c r="J2" s="5"/>
      <c r="K2" s="5" t="s">
        <v>29</v>
      </c>
      <c r="L2" s="5" t="s">
        <v>30</v>
      </c>
      <c r="M2" s="5" t="s">
        <v>31</v>
      </c>
      <c r="O2" s="5" t="s">
        <v>32</v>
      </c>
      <c r="P2" s="5" t="s">
        <v>33</v>
      </c>
      <c r="Q2" s="5" t="s">
        <v>34</v>
      </c>
      <c r="S2" s="5" t="s">
        <v>35</v>
      </c>
      <c r="T2" s="5" t="s">
        <v>36</v>
      </c>
      <c r="U2" s="5" t="s">
        <v>37</v>
      </c>
      <c r="W2" s="5" t="s">
        <v>38</v>
      </c>
      <c r="X2" s="5" t="s">
        <v>39</v>
      </c>
      <c r="Y2" s="5" t="s">
        <v>40</v>
      </c>
      <c r="Z2" s="5" t="s">
        <v>41</v>
      </c>
      <c r="AB2" s="5" t="s">
        <v>42</v>
      </c>
    </row>
    <row r="3" spans="1:28">
      <c r="A3" t="s">
        <v>43</v>
      </c>
      <c r="E3">
        <v>0.02</v>
      </c>
      <c r="F3" t="s">
        <v>44</v>
      </c>
      <c r="K3">
        <v>0.13093224654278698</v>
      </c>
      <c r="L3">
        <v>2.2342170023362677</v>
      </c>
      <c r="M3">
        <v>0.44349908470192501</v>
      </c>
      <c r="O3">
        <f>($B$49^2+$B$51^2+K3^2)^0.5</f>
        <v>0.6213133615050791</v>
      </c>
      <c r="P3">
        <f>($B$50^2+$B$52^2+L3^2)^0.5</f>
        <v>2.3152996897871465</v>
      </c>
      <c r="Q3">
        <f>($B$54^2+$B$55^2+M3^2)^0.5</f>
        <v>0.49668041851017769</v>
      </c>
      <c r="S3">
        <v>4.1827386115300602E-3</v>
      </c>
      <c r="T3">
        <v>1.6691973171010321E-3</v>
      </c>
      <c r="U3">
        <v>0.12655775050712761</v>
      </c>
      <c r="W3">
        <f t="shared" ref="W3:W70" si="0">(O3^2+S3^2)^0.5</f>
        <v>0.62132744063579992</v>
      </c>
      <c r="X3">
        <f>($B$53^2+  (2*$E$13^2/(1-$E$13^4))^2*$B$48^2 + (2/(1-$E$13^4))^2*$B$47^2 + 0.25*$B$46^2 + 0.25*$P3^2 +$T3^2)^0.5</f>
        <v>1.3524722331588512</v>
      </c>
      <c r="Y3">
        <f>(Q3^2+U3^2)^0.5</f>
        <v>0.51255078025974132</v>
      </c>
      <c r="Z3">
        <f>0.00000776/(60/Test!G3)*100</f>
        <v>2.6597142367999999E-2</v>
      </c>
      <c r="AB3">
        <f>(W3^2+X3^2+Y3^2+Z3^2)^0.5</f>
        <v>1.5743711888496108</v>
      </c>
    </row>
    <row r="4" spans="1:28">
      <c r="A4" t="s">
        <v>45</v>
      </c>
      <c r="E4" s="6">
        <f>+E3/(PI()*(E12/2)^2)</f>
        <v>0.28294212105225836</v>
      </c>
      <c r="F4" t="s">
        <v>46</v>
      </c>
      <c r="K4">
        <v>0.12660222784611977</v>
      </c>
      <c r="L4">
        <v>1.6165627649262095</v>
      </c>
      <c r="M4">
        <v>0.3946119942029277</v>
      </c>
      <c r="O4">
        <f t="shared" ref="O4:O11" si="1">($B$49^2+$B$51^2+K4^2)^0.5</f>
        <v>0.62041531581320652</v>
      </c>
      <c r="P4">
        <f t="shared" ref="P4:P66" si="2">($B$50^2+$B$52^2+L4^2)^0.5</f>
        <v>1.7268938047679341</v>
      </c>
      <c r="Q4">
        <f t="shared" ref="Q4:Q66" si="3">($B$54^2+$B$55^2+M4^2)^0.5</f>
        <v>0.45356215226671137</v>
      </c>
      <c r="S4">
        <v>3.2622856536035352E-3</v>
      </c>
      <c r="T4">
        <v>1.7244281106815807E-3</v>
      </c>
      <c r="U4">
        <v>0.16163467749632274</v>
      </c>
      <c r="W4">
        <f t="shared" si="0"/>
        <v>0.62042389267603681</v>
      </c>
      <c r="X4">
        <f t="shared" ref="X4:X70" si="4">($B$53^2+  (2*$E$13^2/(1-$E$13^4))^2*$B$48^2 + (2/(1-$E$13^4))^2*$B$47^2 + 0.25*$B$46^2 + 0.25*$P4^2 +$T4^2)^0.5</f>
        <v>1.1111114789941958</v>
      </c>
      <c r="Y4">
        <f t="shared" ref="Y4:Y70" si="5">(Q4^2+U4^2)^0.5</f>
        <v>0.48150222734495396</v>
      </c>
      <c r="Z4">
        <f>0.00000776/(60/Test!G4)*100</f>
        <v>2.6396492436000001E-2</v>
      </c>
      <c r="AB4">
        <f t="shared" ref="AB4:AB69" si="6">(W4^2+X4^2+Y4^2+Z4^2)^0.5</f>
        <v>1.3608951815283319</v>
      </c>
    </row>
    <row r="5" spans="1:28">
      <c r="A5" t="s">
        <v>47</v>
      </c>
      <c r="E5" s="6">
        <f>+E3/(PI()*(E9/2)^2)</f>
        <v>0.55088785061553824</v>
      </c>
      <c r="F5" t="s">
        <v>46</v>
      </c>
      <c r="K5">
        <v>0.12470955797761732</v>
      </c>
      <c r="L5">
        <v>0.75537060723150307</v>
      </c>
      <c r="M5">
        <v>0.38654446876619397</v>
      </c>
      <c r="O5">
        <f t="shared" si="1"/>
        <v>0.62003186518998576</v>
      </c>
      <c r="P5">
        <f t="shared" si="2"/>
        <v>0.9692635318989824</v>
      </c>
      <c r="Q5">
        <f t="shared" si="3"/>
        <v>0.44656088759959611</v>
      </c>
      <c r="S5">
        <v>3.788258772418692E-3</v>
      </c>
      <c r="T5">
        <v>1.7489751300507135E-3</v>
      </c>
      <c r="U5">
        <v>0.15523287544486497</v>
      </c>
      <c r="W5">
        <f t="shared" si="0"/>
        <v>0.6200434377973042</v>
      </c>
      <c r="X5">
        <f t="shared" si="4"/>
        <v>0.850820897336931</v>
      </c>
      <c r="Y5">
        <f t="shared" si="5"/>
        <v>0.47277253722336715</v>
      </c>
      <c r="Z5">
        <f>0.00000776/(60/Test!G5)*100</f>
        <v>2.6209009025333331E-2</v>
      </c>
      <c r="AB5">
        <f t="shared" si="6"/>
        <v>1.1543616626549194</v>
      </c>
    </row>
    <row r="6" spans="1:28">
      <c r="A6" t="s">
        <v>48</v>
      </c>
      <c r="E6" s="7">
        <f>1.79/100000</f>
        <v>1.7900000000000001E-5</v>
      </c>
      <c r="F6" t="s">
        <v>49</v>
      </c>
      <c r="K6">
        <v>0.12295779958895248</v>
      </c>
      <c r="L6">
        <v>0.30035405551962424</v>
      </c>
      <c r="M6">
        <v>0.38592223990064967</v>
      </c>
      <c r="O6">
        <f t="shared" si="1"/>
        <v>0.61968190265632006</v>
      </c>
      <c r="P6">
        <f t="shared" si="2"/>
        <v>0.6775688885029223</v>
      </c>
      <c r="Q6">
        <f t="shared" si="3"/>
        <v>0.44602239321578308</v>
      </c>
      <c r="S6">
        <v>2.823974721257571E-3</v>
      </c>
      <c r="T6">
        <v>2.7431294145005927E-3</v>
      </c>
      <c r="U6">
        <v>0.13271832523490726</v>
      </c>
      <c r="W6">
        <f t="shared" si="0"/>
        <v>0.61968833724137751</v>
      </c>
      <c r="X6">
        <f t="shared" si="4"/>
        <v>0.77705058798616744</v>
      </c>
      <c r="Y6">
        <f t="shared" si="5"/>
        <v>0.46534946986441622</v>
      </c>
      <c r="Z6">
        <f>0.00000776/(60/Test!G6)*100</f>
        <v>2.6022419178666666E-2</v>
      </c>
      <c r="AB6">
        <f t="shared" si="6"/>
        <v>1.0977470323374303</v>
      </c>
    </row>
    <row r="7" spans="1:28">
      <c r="A7" t="s">
        <v>50</v>
      </c>
      <c r="E7" s="8">
        <f>+E6/E11</f>
        <v>1.4854771784232365E-5</v>
      </c>
      <c r="F7" t="s">
        <v>51</v>
      </c>
      <c r="K7">
        <v>0.12140627018719817</v>
      </c>
      <c r="L7">
        <v>0.14250034092189265</v>
      </c>
      <c r="M7">
        <v>0.38915430125136541</v>
      </c>
      <c r="O7">
        <f t="shared" si="1"/>
        <v>0.61937591367502087</v>
      </c>
      <c r="P7">
        <f t="shared" si="2"/>
        <v>0.62385365845112717</v>
      </c>
      <c r="Q7">
        <f t="shared" si="3"/>
        <v>0.44882186910002331</v>
      </c>
      <c r="S7">
        <v>2.6549119330669842E-3</v>
      </c>
      <c r="T7">
        <v>4.7621217576117678E-3</v>
      </c>
      <c r="U7">
        <v>0.11050067019255339</v>
      </c>
      <c r="W7">
        <f t="shared" si="0"/>
        <v>0.61938160369689643</v>
      </c>
      <c r="X7">
        <f t="shared" si="4"/>
        <v>0.76573247055237303</v>
      </c>
      <c r="Y7">
        <f t="shared" si="5"/>
        <v>0.46222447825211715</v>
      </c>
      <c r="Z7">
        <f>0.00000776/(60/Test!G7)*100</f>
        <v>2.5831444156E-2</v>
      </c>
      <c r="AB7">
        <f t="shared" si="6"/>
        <v>1.0882548043813114</v>
      </c>
    </row>
    <row r="8" spans="1:28">
      <c r="A8" t="s">
        <v>52</v>
      </c>
      <c r="E8" s="8">
        <f>+E4*E12/E7</f>
        <v>5714.1662994632061</v>
      </c>
      <c r="K8">
        <v>0.12164126394356593</v>
      </c>
      <c r="L8">
        <v>0.11506826153746721</v>
      </c>
      <c r="M8">
        <v>0.39116843077796476</v>
      </c>
      <c r="O8">
        <f t="shared" si="1"/>
        <v>0.61942201857359602</v>
      </c>
      <c r="P8">
        <f t="shared" si="2"/>
        <v>0.61816482010322693</v>
      </c>
      <c r="Q8">
        <f t="shared" si="3"/>
        <v>0.45056935230583028</v>
      </c>
      <c r="S8">
        <v>4.0324605775828729E-3</v>
      </c>
      <c r="T8">
        <v>4.8234893060346007E-3</v>
      </c>
      <c r="U8">
        <v>9.9033094343855169E-2</v>
      </c>
      <c r="W8">
        <f t="shared" si="0"/>
        <v>0.61943514416934564</v>
      </c>
      <c r="X8">
        <f t="shared" si="4"/>
        <v>0.76457857288593412</v>
      </c>
      <c r="Y8">
        <f t="shared" si="5"/>
        <v>0.46132450077208592</v>
      </c>
      <c r="Z8">
        <f>0.00000776/(60/Test!G8)*100</f>
        <v>2.5747409434666666E-2</v>
      </c>
      <c r="AB8">
        <f t="shared" si="6"/>
        <v>1.0870894701235958</v>
      </c>
    </row>
    <row r="9" spans="1:28">
      <c r="A9" t="s">
        <v>53</v>
      </c>
      <c r="D9" t="s">
        <v>54</v>
      </c>
      <c r="E9">
        <v>0.215</v>
      </c>
      <c r="F9" t="s">
        <v>55</v>
      </c>
      <c r="K9">
        <v>0.12364519617201117</v>
      </c>
      <c r="L9">
        <v>0.11130352773901261</v>
      </c>
      <c r="M9">
        <v>0.39271209866096429</v>
      </c>
      <c r="O9">
        <f t="shared" si="1"/>
        <v>0.61981866262352503</v>
      </c>
      <c r="P9">
        <f t="shared" si="2"/>
        <v>0.61747511309132863</v>
      </c>
      <c r="Q9">
        <f t="shared" si="3"/>
        <v>0.45191015969404691</v>
      </c>
      <c r="S9">
        <v>5.9547670951573166E-3</v>
      </c>
      <c r="T9">
        <v>1.3924296737140594E-2</v>
      </c>
      <c r="U9">
        <v>0.10062890586972578</v>
      </c>
      <c r="W9">
        <f t="shared" si="0"/>
        <v>0.61984726650004085</v>
      </c>
      <c r="X9">
        <f t="shared" si="4"/>
        <v>0.76455082023715315</v>
      </c>
      <c r="Y9">
        <f t="shared" si="5"/>
        <v>0.46297836788692093</v>
      </c>
      <c r="Z9">
        <f>0.00000776/(60/Test!G9)*100</f>
        <v>2.5681443356000002E-2</v>
      </c>
      <c r="AB9">
        <f t="shared" si="6"/>
        <v>1.0880060184470308</v>
      </c>
    </row>
    <row r="10" spans="1:28">
      <c r="A10" t="s">
        <v>56</v>
      </c>
      <c r="E10" s="9">
        <v>500</v>
      </c>
      <c r="F10" t="s">
        <v>57</v>
      </c>
      <c r="K10">
        <v>0.12651851391051025</v>
      </c>
      <c r="L10">
        <v>0.11363380460761649</v>
      </c>
      <c r="M10">
        <v>0.39333904283937182</v>
      </c>
      <c r="O10">
        <f t="shared" si="1"/>
        <v>0.62039823852274434</v>
      </c>
      <c r="P10">
        <f t="shared" si="2"/>
        <v>0.6178994105431741</v>
      </c>
      <c r="Q10">
        <f t="shared" si="3"/>
        <v>0.45245508354066838</v>
      </c>
      <c r="S10">
        <v>4.5584336963980301E-3</v>
      </c>
      <c r="T10">
        <v>1.0009047147763911E-2</v>
      </c>
      <c r="U10">
        <v>9.9057835607822123E-2</v>
      </c>
      <c r="W10">
        <f t="shared" si="0"/>
        <v>0.62041498505426862</v>
      </c>
      <c r="X10">
        <f t="shared" si="4"/>
        <v>0.76457523715858022</v>
      </c>
      <c r="Y10">
        <f t="shared" si="5"/>
        <v>0.4631717364186847</v>
      </c>
      <c r="Z10">
        <f>0.00000776/(60/Test!G10)*100</f>
        <v>2.5643499542666665E-2</v>
      </c>
      <c r="AB10">
        <f t="shared" si="6"/>
        <v>1.0884280837252784</v>
      </c>
    </row>
    <row r="11" spans="1:28">
      <c r="A11" t="s">
        <v>58</v>
      </c>
      <c r="E11" s="10">
        <v>1.2050000000000001</v>
      </c>
      <c r="F11" t="s">
        <v>59</v>
      </c>
      <c r="K11">
        <v>0.13479367161998268</v>
      </c>
      <c r="L11">
        <v>0.11234850132692489</v>
      </c>
      <c r="M11">
        <v>0.39366532738643667</v>
      </c>
      <c r="O11">
        <f t="shared" si="1"/>
        <v>0.622138548804682</v>
      </c>
      <c r="P11">
        <f t="shared" si="2"/>
        <v>0.61766433096820961</v>
      </c>
      <c r="Q11">
        <f t="shared" si="3"/>
        <v>0.45273876572066413</v>
      </c>
      <c r="S11">
        <v>4.0199374080872744E-3</v>
      </c>
      <c r="T11">
        <v>1.0469303760935147E-2</v>
      </c>
      <c r="U11">
        <v>0.1016927802203062</v>
      </c>
      <c r="W11">
        <f t="shared" si="0"/>
        <v>0.62215153604693496</v>
      </c>
      <c r="X11">
        <f t="shared" si="4"/>
        <v>0.764533913324146</v>
      </c>
      <c r="Y11">
        <f t="shared" si="5"/>
        <v>0.46401919306770695</v>
      </c>
      <c r="Z11">
        <f>0.00000776/(60/Test!G11)*100</f>
        <v>2.5629075513333335E-2</v>
      </c>
      <c r="AB11">
        <f t="shared" si="6"/>
        <v>1.0897501087291377</v>
      </c>
    </row>
    <row r="12" spans="1:28">
      <c r="A12" t="s">
        <v>60</v>
      </c>
      <c r="D12" t="s">
        <v>61</v>
      </c>
      <c r="E12">
        <v>0.3</v>
      </c>
      <c r="F12" t="s">
        <v>55</v>
      </c>
    </row>
    <row r="13" spans="1:28">
      <c r="A13" t="s">
        <v>62</v>
      </c>
      <c r="E13" s="11">
        <f>+E9/E12</f>
        <v>0.71666666666666667</v>
      </c>
    </row>
    <row r="14" spans="1:28">
      <c r="A14" s="12" t="s">
        <v>63</v>
      </c>
      <c r="B14" s="12"/>
      <c r="C14" s="12"/>
      <c r="D14" s="12"/>
      <c r="E14" s="13">
        <v>0</v>
      </c>
      <c r="F14" s="12" t="s">
        <v>55</v>
      </c>
      <c r="K14">
        <v>0.12589879491271358</v>
      </c>
      <c r="L14">
        <v>2.2396286996593977</v>
      </c>
      <c r="M14">
        <v>0.47131222045309862</v>
      </c>
      <c r="O14">
        <f>($B$49^2+$B$51^2+K14^2)^0.5</f>
        <v>0.62027215523548496</v>
      </c>
      <c r="P14">
        <f t="shared" si="2"/>
        <v>2.3205223016247967</v>
      </c>
      <c r="Q14">
        <f t="shared" si="3"/>
        <v>0.52166580216497827</v>
      </c>
      <c r="S14">
        <v>4.2453544590080553E-3</v>
      </c>
      <c r="T14">
        <v>1.6876075816278813E-3</v>
      </c>
      <c r="U14">
        <v>0.14247633113483621</v>
      </c>
      <c r="W14">
        <f t="shared" si="0"/>
        <v>0.62028668339321635</v>
      </c>
      <c r="X14">
        <f t="shared" si="4"/>
        <v>1.3547080785053853</v>
      </c>
      <c r="Y14">
        <f t="shared" si="5"/>
        <v>0.54077233109884026</v>
      </c>
      <c r="Z14">
        <f>0.00000776/(60/Test!G14)*100</f>
        <v>2.5041183474666669E-2</v>
      </c>
      <c r="AB14">
        <f t="shared" si="6"/>
        <v>1.5852606481315918</v>
      </c>
    </row>
    <row r="15" spans="1:28">
      <c r="A15" s="12" t="s">
        <v>64</v>
      </c>
      <c r="B15" s="12"/>
      <c r="C15" s="12"/>
      <c r="D15" s="12"/>
      <c r="E15" s="14">
        <v>0</v>
      </c>
      <c r="F15" s="15" t="s">
        <v>55</v>
      </c>
      <c r="K15">
        <v>0.1228493726725482</v>
      </c>
      <c r="L15">
        <v>1.6279908768253251</v>
      </c>
      <c r="M15">
        <v>0.40287713817648874</v>
      </c>
      <c r="O15">
        <f>($B$49^2+$B$51^2+K15^2)^0.5</f>
        <v>0.61966039760988334</v>
      </c>
      <c r="P15">
        <f t="shared" si="2"/>
        <v>1.7375964246701507</v>
      </c>
      <c r="Q15">
        <f t="shared" si="3"/>
        <v>0.46077108032653008</v>
      </c>
      <c r="S15">
        <v>4.5646952811458294E-3</v>
      </c>
      <c r="T15">
        <v>1.6569238074164655E-3</v>
      </c>
      <c r="U15">
        <v>0.10580315212248921</v>
      </c>
      <c r="W15">
        <f t="shared" si="0"/>
        <v>0.61967721017401345</v>
      </c>
      <c r="X15">
        <f t="shared" si="4"/>
        <v>1.1152749755181539</v>
      </c>
      <c r="Y15">
        <f t="shared" si="5"/>
        <v>0.47276240910665923</v>
      </c>
      <c r="Z15">
        <f>0.00000776/(60/Test!G15)*100</f>
        <v>2.4879607082666667E-2</v>
      </c>
      <c r="AB15">
        <f t="shared" si="6"/>
        <v>1.3608678870996214</v>
      </c>
    </row>
    <row r="16" spans="1:28">
      <c r="A16" s="16" t="s">
        <v>65</v>
      </c>
      <c r="B16" s="17"/>
      <c r="C16" s="17"/>
      <c r="D16" s="17"/>
      <c r="E16" s="17">
        <v>100000</v>
      </c>
      <c r="F16" s="18" t="s">
        <v>57</v>
      </c>
      <c r="K16">
        <v>0.12190434316242563</v>
      </c>
      <c r="L16">
        <v>0.89617419630792883</v>
      </c>
      <c r="M16">
        <v>0.39025772721570406</v>
      </c>
      <c r="O16">
        <f>($B$49^2+$B$51^2+K16^2)^0.5</f>
        <v>0.61947373542537087</v>
      </c>
      <c r="P16">
        <f t="shared" si="2"/>
        <v>1.0825965223148291</v>
      </c>
      <c r="Q16">
        <f t="shared" si="3"/>
        <v>0.44977893864827295</v>
      </c>
      <c r="S16">
        <v>3.3749941790639265E-3</v>
      </c>
      <c r="T16">
        <v>1.9698983043729087E-3</v>
      </c>
      <c r="U16">
        <v>9.6283491959856415E-2</v>
      </c>
      <c r="W16">
        <f t="shared" si="0"/>
        <v>0.61948292911715586</v>
      </c>
      <c r="X16">
        <f t="shared" si="4"/>
        <v>0.88432622933805516</v>
      </c>
      <c r="Y16">
        <f t="shared" si="5"/>
        <v>0.45996913426397495</v>
      </c>
      <c r="Z16">
        <f>0.00000776/(60/Test!G16)*100</f>
        <v>2.4766326861333336E-2</v>
      </c>
      <c r="AB16">
        <f t="shared" si="6"/>
        <v>1.1738726314147487</v>
      </c>
    </row>
    <row r="17" spans="1:28">
      <c r="A17" s="19" t="s">
        <v>66</v>
      </c>
      <c r="B17" s="12"/>
      <c r="C17" s="12"/>
      <c r="D17" s="12"/>
      <c r="E17" s="20">
        <f>100000-E10-E23</f>
        <v>99265.504993925671</v>
      </c>
      <c r="F17" s="21" t="s">
        <v>57</v>
      </c>
      <c r="K17">
        <v>0.12135249249823782</v>
      </c>
      <c r="L17">
        <v>0.34862699703347733</v>
      </c>
      <c r="M17">
        <v>0.38577588798407436</v>
      </c>
      <c r="O17">
        <f>($B$49^2+$B$51^2+K17^2)^0.5</f>
        <v>0.61936537474703479</v>
      </c>
      <c r="P17">
        <f t="shared" si="2"/>
        <v>0.70030552122668588</v>
      </c>
      <c r="Q17">
        <f t="shared" si="3"/>
        <v>0.44589576780891416</v>
      </c>
      <c r="S17">
        <v>4.1263843487998652E-3</v>
      </c>
      <c r="T17">
        <v>3.0745141759838859E-3</v>
      </c>
      <c r="U17">
        <v>8.033618723859566E-2</v>
      </c>
      <c r="W17">
        <f t="shared" si="0"/>
        <v>0.61937912015447272</v>
      </c>
      <c r="X17">
        <f t="shared" si="4"/>
        <v>0.78207518837158874</v>
      </c>
      <c r="Y17">
        <f t="shared" si="5"/>
        <v>0.45307498135511276</v>
      </c>
      <c r="Z17">
        <f>0.00000776/(60/Test!G17)*100</f>
        <v>2.4623190945333336E-2</v>
      </c>
      <c r="AB17">
        <f t="shared" si="6"/>
        <v>1.0959723240173771</v>
      </c>
    </row>
    <row r="18" spans="1:28">
      <c r="A18" s="22" t="s">
        <v>67</v>
      </c>
      <c r="B18" s="23"/>
      <c r="C18" s="23"/>
      <c r="D18" s="23"/>
      <c r="E18" s="24">
        <f>1-(0.351+0.256*E13^4+0.93*E13^8)*(1-(E17/E16)^(1/1.4))</f>
        <v>0.99746201615938335</v>
      </c>
      <c r="F18" s="25"/>
      <c r="K18">
        <v>0.12242784336059775</v>
      </c>
      <c r="L18">
        <v>0.15833701167906855</v>
      </c>
      <c r="M18">
        <v>0.38620467186058277</v>
      </c>
      <c r="O18">
        <f>($B$49^2+$B$51^2+K18^2)^0.5</f>
        <v>0.61957696602595469</v>
      </c>
      <c r="P18">
        <f t="shared" si="2"/>
        <v>0.62766045698885431</v>
      </c>
      <c r="Q18">
        <f t="shared" si="3"/>
        <v>0.446266790795529</v>
      </c>
      <c r="S18">
        <v>2.9304216619701622E-3</v>
      </c>
      <c r="T18">
        <v>6.081524048702657E-3</v>
      </c>
      <c r="U18">
        <v>7.1228795823163549E-2</v>
      </c>
      <c r="W18">
        <f t="shared" si="0"/>
        <v>0.61958389601493347</v>
      </c>
      <c r="X18">
        <f t="shared" si="4"/>
        <v>0.76651913812736072</v>
      </c>
      <c r="Y18">
        <f t="shared" si="5"/>
        <v>0.4519154676721725</v>
      </c>
      <c r="Z18">
        <f>0.00000776/(60/Test!G18)*100</f>
        <v>2.4490347763999998E-2</v>
      </c>
      <c r="AB18">
        <f t="shared" si="6"/>
        <v>1.0845566653575625</v>
      </c>
    </row>
    <row r="19" spans="1:28">
      <c r="A19" t="s">
        <v>68</v>
      </c>
      <c r="C19" t="s">
        <v>6</v>
      </c>
      <c r="E19" s="26">
        <f>0.5961+0.0261*E13^2-0.216*E13^8+0.000521*(1000000*E13/E8)^0.7+(0.0188+0.0063*((19000*E13/E8)^0.8))*E13^3.5*(1000000/E8)^0.3+(0.043+0.08*EXP(-10*E14/E12)-0.123*EXP(-7*E14/E12))*(1-0.11*(19000*E13/E8)^0.8)*(E13^4/(1-E13^4))-0.031*(2*(E15/E12)/(1-E13)-0.8*((2*(E15/E12)/(1-E13))^1.1))*E13^1.3</f>
        <v>0.65591154544352426</v>
      </c>
      <c r="K19">
        <v>0.12590654600843063</v>
      </c>
      <c r="L19">
        <v>0.11655317808817725</v>
      </c>
      <c r="M19">
        <v>0.38754054519651843</v>
      </c>
      <c r="O19">
        <f>($B$49^2+$B$51^2+K19^2)^0.5</f>
        <v>0.62027372854875373</v>
      </c>
      <c r="P19">
        <f t="shared" si="2"/>
        <v>0.61844295074198585</v>
      </c>
      <c r="Q19">
        <f t="shared" si="3"/>
        <v>0.44742337240159319</v>
      </c>
      <c r="S19">
        <v>2.5484649923543921E-3</v>
      </c>
      <c r="T19">
        <v>8.6282773082501894E-3</v>
      </c>
      <c r="U19">
        <v>6.7893166868540258E-2</v>
      </c>
      <c r="W19">
        <f t="shared" si="0"/>
        <v>0.62027896385544967</v>
      </c>
      <c r="X19">
        <f t="shared" si="4"/>
        <v>0.76466826785463915</v>
      </c>
      <c r="Y19">
        <f t="shared" si="5"/>
        <v>0.45254519805059712</v>
      </c>
      <c r="Z19">
        <f>0.00000776/(60/Test!G19)*100</f>
        <v>2.4416763822666672E-2</v>
      </c>
      <c r="AB19">
        <f t="shared" si="6"/>
        <v>1.0839081545498357</v>
      </c>
    </row>
    <row r="20" spans="1:28">
      <c r="A20" t="s">
        <v>69</v>
      </c>
      <c r="E20" s="27">
        <f>+E19*((PI()/4)*E9^2*(2*E10*E11)^0.5)/((1-E13^4)^0.5)</f>
        <v>0.96339995990915284</v>
      </c>
      <c r="F20" t="s">
        <v>70</v>
      </c>
      <c r="K20">
        <v>0.13160043013902756</v>
      </c>
      <c r="L20">
        <v>0.1109714507679825</v>
      </c>
      <c r="M20">
        <v>0.3883142032327816</v>
      </c>
      <c r="O20">
        <f>($B$49^2+$B$51^2+K20^2)^0.5</f>
        <v>0.62145451419454434</v>
      </c>
      <c r="P20">
        <f t="shared" si="2"/>
        <v>0.61741534066262949</v>
      </c>
      <c r="Q20">
        <f t="shared" si="3"/>
        <v>0.44809365140817387</v>
      </c>
      <c r="S20">
        <v>4.5584336963980301E-3</v>
      </c>
      <c r="T20">
        <v>6.1858488810214718E-3</v>
      </c>
      <c r="U20">
        <v>6.8180505692346752E-2</v>
      </c>
      <c r="W20">
        <f t="shared" si="0"/>
        <v>0.62147123226304013</v>
      </c>
      <c r="X20">
        <f t="shared" si="4"/>
        <v>0.76443697079069839</v>
      </c>
      <c r="Y20">
        <f t="shared" si="5"/>
        <v>0.45325103616955376</v>
      </c>
      <c r="Z20">
        <f>0.00000776/(60/Test!G20)*100</f>
        <v>2.438287448E-2</v>
      </c>
      <c r="AB20">
        <f t="shared" si="6"/>
        <v>1.0847218082065475</v>
      </c>
    </row>
    <row r="21" spans="1:28">
      <c r="E21" s="26">
        <f>+E20/1.2</f>
        <v>0.80283329992429409</v>
      </c>
      <c r="F21" t="s">
        <v>44</v>
      </c>
      <c r="K21">
        <v>0.13579929898578708</v>
      </c>
      <c r="L21">
        <v>0.11179545016001785</v>
      </c>
      <c r="M21">
        <v>0.38860433407584744</v>
      </c>
      <c r="O21">
        <f>($B$49^2+$B$51^2+K21^2)^0.5</f>
        <v>0.6223572041882629</v>
      </c>
      <c r="P21">
        <f t="shared" si="2"/>
        <v>0.61756397456172996</v>
      </c>
      <c r="Q21">
        <f t="shared" si="3"/>
        <v>0.44834509974185383</v>
      </c>
      <c r="S21">
        <v>3.0118222636915555E-3</v>
      </c>
      <c r="T21">
        <v>7.0388578040988361E-3</v>
      </c>
      <c r="U21">
        <v>6.8948824721220672E-2</v>
      </c>
      <c r="W21">
        <f t="shared" si="0"/>
        <v>0.62236449182000997</v>
      </c>
      <c r="X21">
        <f t="shared" si="4"/>
        <v>0.76447436389469536</v>
      </c>
      <c r="Y21">
        <f t="shared" si="5"/>
        <v>0.4536157723150403</v>
      </c>
      <c r="Z21">
        <f>0.00000776/(60/Test!G21)*100</f>
        <v>2.4371069062666669E-2</v>
      </c>
      <c r="AB21">
        <f t="shared" si="6"/>
        <v>1.0854122864749627</v>
      </c>
    </row>
    <row r="22" spans="1:28">
      <c r="E22" s="28">
        <f>+E21*3600</f>
        <v>2890.1998797274587</v>
      </c>
      <c r="F22" t="s">
        <v>71</v>
      </c>
      <c r="K22">
        <v>0.14847484739449443</v>
      </c>
      <c r="L22">
        <v>0.11672240578918169</v>
      </c>
      <c r="M22">
        <v>0.38885368719518487</v>
      </c>
      <c r="O22">
        <f>($B$49^2+$B$51^2+K22^2)^0.5</f>
        <v>0.62524540806695927</v>
      </c>
      <c r="P22">
        <f t="shared" si="2"/>
        <v>0.61847486611277458</v>
      </c>
      <c r="Q22">
        <f t="shared" si="3"/>
        <v>0.44856124447536783</v>
      </c>
      <c r="S22">
        <v>2.967991170456959E-3</v>
      </c>
      <c r="T22">
        <v>5.6089939258468502E-3</v>
      </c>
      <c r="U22">
        <v>7.0029468558579888E-2</v>
      </c>
      <c r="W22">
        <f t="shared" si="0"/>
        <v>0.62525245243853811</v>
      </c>
      <c r="X22">
        <f t="shared" si="4"/>
        <v>0.76464661293963521</v>
      </c>
      <c r="Y22">
        <f t="shared" si="5"/>
        <v>0.45399484194414347</v>
      </c>
      <c r="Z22">
        <f>0.00000776/(60/Test!G22)*100</f>
        <v>2.4355443009333337E-2</v>
      </c>
      <c r="AB22">
        <f t="shared" si="6"/>
        <v>1.0873497947194966</v>
      </c>
    </row>
    <row r="23" spans="1:28">
      <c r="A23" t="s">
        <v>72</v>
      </c>
      <c r="E23" s="29">
        <f>+E10*(1-B32^1.9)</f>
        <v>234.49500607433242</v>
      </c>
      <c r="F23" t="s">
        <v>57</v>
      </c>
    </row>
    <row r="25" spans="1:28">
      <c r="A25" s="30" t="s">
        <v>73</v>
      </c>
      <c r="B25" s="17"/>
      <c r="C25" s="17"/>
      <c r="D25" s="17"/>
      <c r="E25" s="18"/>
      <c r="K25">
        <v>0.121715129284103</v>
      </c>
      <c r="L25">
        <v>2.2412021065185534</v>
      </c>
      <c r="M25">
        <v>0.52051308418803433</v>
      </c>
      <c r="O25">
        <f>($B$49^2+$B$51^2+K25^2)^0.5</f>
        <v>0.61943652838418073</v>
      </c>
      <c r="P25">
        <f t="shared" si="2"/>
        <v>2.3220408959067025</v>
      </c>
      <c r="Q25">
        <f t="shared" si="3"/>
        <v>0.56651025658053156</v>
      </c>
      <c r="S25">
        <v>3.7381660944362963E-3</v>
      </c>
      <c r="T25">
        <v>1.7189808788552847E-3</v>
      </c>
      <c r="U25">
        <v>0.10793336242123017</v>
      </c>
      <c r="W25">
        <f t="shared" si="0"/>
        <v>0.61944780779529407</v>
      </c>
      <c r="X25">
        <f t="shared" si="4"/>
        <v>1.3553584866465973</v>
      </c>
      <c r="Y25">
        <f t="shared" si="5"/>
        <v>0.57670051286130508</v>
      </c>
      <c r="Z25">
        <f>0.00000776/(60/Test!G25)*100</f>
        <v>2.3086100750666669E-2</v>
      </c>
      <c r="AB25">
        <f t="shared" si="6"/>
        <v>1.5980702936634898</v>
      </c>
    </row>
    <row r="26" spans="1:28">
      <c r="A26" s="19" t="s">
        <v>74</v>
      </c>
      <c r="B26" s="12">
        <f>(1.667*E13-0.5)/100*B27</f>
        <v>4.5565081876052559E-3</v>
      </c>
      <c r="C26" s="31">
        <f>+B26/B27</f>
        <v>6.9468333333333335E-3</v>
      </c>
      <c r="D26" s="12"/>
      <c r="E26" s="21"/>
      <c r="K26">
        <v>0.12161594974974643</v>
      </c>
      <c r="L26">
        <v>1.7489518924886989</v>
      </c>
      <c r="M26">
        <v>0.42932097673101105</v>
      </c>
      <c r="O26">
        <f>($B$49^2+$B$51^2+K26^2)^0.5</f>
        <v>0.61941704790353713</v>
      </c>
      <c r="P26">
        <f t="shared" si="2"/>
        <v>1.8514102090676181</v>
      </c>
      <c r="Q26">
        <f t="shared" si="3"/>
        <v>0.48406249706134991</v>
      </c>
      <c r="S26">
        <v>3.9009672978790834E-3</v>
      </c>
      <c r="T26">
        <v>1.7126142830076725E-3</v>
      </c>
      <c r="U26">
        <v>8.4544472368340992E-2</v>
      </c>
      <c r="W26">
        <f t="shared" si="0"/>
        <v>0.61942933154589308</v>
      </c>
      <c r="X26">
        <f t="shared" si="4"/>
        <v>1.1601543282992679</v>
      </c>
      <c r="Y26">
        <f t="shared" si="5"/>
        <v>0.49139013916572499</v>
      </c>
      <c r="Z26">
        <f>0.00000776/(60/Test!G26)*100</f>
        <v>2.2980239477333336E-2</v>
      </c>
      <c r="AB26">
        <f t="shared" si="6"/>
        <v>1.4041521009230673</v>
      </c>
    </row>
    <row r="27" spans="1:28">
      <c r="A27" s="19" t="s">
        <v>6</v>
      </c>
      <c r="B27" s="32">
        <f>+E19</f>
        <v>0.65591154544352426</v>
      </c>
      <c r="C27" s="12"/>
      <c r="D27" s="12">
        <f>+(B26/B27)^2</f>
        <v>4.8258493361111111E-5</v>
      </c>
      <c r="E27" s="33">
        <f>+D27/$D$41</f>
        <v>6.8614460501806342E-3</v>
      </c>
      <c r="K27">
        <v>0.1225701692108092</v>
      </c>
      <c r="L27">
        <v>0.99674742220126167</v>
      </c>
      <c r="M27">
        <v>0.3998889664015054</v>
      </c>
      <c r="O27">
        <f>($B$49^2+$B$51^2+K27^2)^0.5</f>
        <v>0.61960510519230427</v>
      </c>
      <c r="P27">
        <f t="shared" si="2"/>
        <v>1.167215688578962</v>
      </c>
      <c r="Q27">
        <f t="shared" si="3"/>
        <v>0.4581606546285531</v>
      </c>
      <c r="S27">
        <v>4.6335727133716238E-3</v>
      </c>
      <c r="T27">
        <v>1.8463127958075274E-3</v>
      </c>
      <c r="U27">
        <v>7.9533458837799401E-2</v>
      </c>
      <c r="W27">
        <f t="shared" si="0"/>
        <v>0.61962243049816756</v>
      </c>
      <c r="X27">
        <f t="shared" si="4"/>
        <v>0.91083846902238796</v>
      </c>
      <c r="Y27">
        <f t="shared" si="5"/>
        <v>0.46501264125222258</v>
      </c>
      <c r="Z27">
        <f>0.00000776/(60/Test!G27)*100</f>
        <v>2.2895194792000001E-2</v>
      </c>
      <c r="AB27">
        <f t="shared" si="6"/>
        <v>1.1959597064685898</v>
      </c>
    </row>
    <row r="28" spans="1:28">
      <c r="A28" s="19" t="s">
        <v>75</v>
      </c>
      <c r="B28" s="12">
        <f>0.1/1000</f>
        <v>1E-4</v>
      </c>
      <c r="C28" s="31">
        <f>+B28/B29</f>
        <v>3.3333333333333338E-4</v>
      </c>
      <c r="D28" s="12"/>
      <c r="E28" s="21"/>
      <c r="K28">
        <v>0.12479807639602684</v>
      </c>
      <c r="L28">
        <v>0.40461770136605502</v>
      </c>
      <c r="M28">
        <v>0.38917164503899426</v>
      </c>
      <c r="O28">
        <f>($B$49^2+$B$51^2+K28^2)^0.5</f>
        <v>0.62004967532621813</v>
      </c>
      <c r="P28">
        <f t="shared" si="2"/>
        <v>0.72979622104992437</v>
      </c>
      <c r="Q28">
        <f t="shared" si="3"/>
        <v>0.44883690724176967</v>
      </c>
      <c r="S28">
        <v>2.8615442297443678E-3</v>
      </c>
      <c r="T28">
        <v>2.6294040850638242E-3</v>
      </c>
      <c r="U28">
        <v>7.4041937160493509E-2</v>
      </c>
      <c r="W28">
        <f t="shared" si="0"/>
        <v>0.62005627833893218</v>
      </c>
      <c r="X28">
        <f t="shared" si="4"/>
        <v>0.78878560882816728</v>
      </c>
      <c r="Y28">
        <f t="shared" si="5"/>
        <v>0.45490304215385879</v>
      </c>
      <c r="Z28">
        <f>0.00000776/(60/Test!G28)*100</f>
        <v>2.2799441694666668E-2</v>
      </c>
      <c r="AB28">
        <f t="shared" si="6"/>
        <v>1.1018661975504893</v>
      </c>
    </row>
    <row r="29" spans="1:28">
      <c r="A29" s="19" t="s">
        <v>61</v>
      </c>
      <c r="B29" s="12">
        <f>+E12</f>
        <v>0.3</v>
      </c>
      <c r="C29" s="12"/>
      <c r="D29" s="12">
        <f>+(2*B32^4/(1-B32^4))^2*(B28/B29)^2</f>
        <v>5.7063606807607283E-8</v>
      </c>
      <c r="E29" s="33">
        <f>+D29/$D$41</f>
        <v>8.113366834917345E-6</v>
      </c>
      <c r="K29">
        <v>0.13090022168778051</v>
      </c>
      <c r="L29">
        <v>0.19036027315250723</v>
      </c>
      <c r="M29">
        <v>0.38600787027302308</v>
      </c>
      <c r="O29">
        <f>($B$49^2+$B$51^2+K29^2)^0.5</f>
        <v>0.62130661354753824</v>
      </c>
      <c r="P29">
        <f t="shared" si="2"/>
        <v>0.63649357702548515</v>
      </c>
      <c r="Q29">
        <f t="shared" si="3"/>
        <v>0.44609648722301665</v>
      </c>
      <c r="S29">
        <v>3.5753648909935096E-3</v>
      </c>
      <c r="T29">
        <v>3.8008577210244627E-3</v>
      </c>
      <c r="U29">
        <v>6.1723455579809634E-2</v>
      </c>
      <c r="W29">
        <f t="shared" si="0"/>
        <v>0.62131690084208535</v>
      </c>
      <c r="X29">
        <f t="shared" si="4"/>
        <v>0.76832327622035668</v>
      </c>
      <c r="Y29">
        <f t="shared" si="5"/>
        <v>0.45034637878129735</v>
      </c>
      <c r="Z29">
        <f>0.00000776/(60/Test!G29)*100</f>
        <v>2.2716468412E-2</v>
      </c>
      <c r="AB29">
        <f t="shared" si="6"/>
        <v>1.0861322418897881</v>
      </c>
    </row>
    <row r="30" spans="1:28">
      <c r="A30" s="19" t="s">
        <v>76</v>
      </c>
      <c r="B30" s="12">
        <f>2/100/1000</f>
        <v>2.0000000000000002E-5</v>
      </c>
      <c r="C30" s="31">
        <f>+B30/B31</f>
        <v>9.3023255813953496E-5</v>
      </c>
      <c r="D30" s="12"/>
      <c r="E30" s="21"/>
      <c r="K30">
        <v>0.13922884999986085</v>
      </c>
      <c r="L30">
        <v>0.13334677852232443</v>
      </c>
      <c r="M30">
        <v>0.38555581201511846</v>
      </c>
      <c r="O30">
        <f>($B$49^2+$B$51^2+K30^2)^0.5</f>
        <v>0.62311452612845075</v>
      </c>
      <c r="P30">
        <f t="shared" si="2"/>
        <v>0.62182666663812503</v>
      </c>
      <c r="Q30">
        <f t="shared" si="3"/>
        <v>0.44570537822494061</v>
      </c>
      <c r="S30">
        <v>3.4563947807853194E-3</v>
      </c>
      <c r="T30">
        <v>6.3538626559169406E-3</v>
      </c>
      <c r="U30">
        <v>6.1523763882453057E-2</v>
      </c>
      <c r="W30">
        <f t="shared" si="0"/>
        <v>0.62312411230601916</v>
      </c>
      <c r="X30">
        <f t="shared" si="4"/>
        <v>0.76533173478571592</v>
      </c>
      <c r="Y30">
        <f t="shared" si="5"/>
        <v>0.44993161447146746</v>
      </c>
      <c r="Z30">
        <f>0.00000776/(60/Test!G30)*100</f>
        <v>2.2677602064000001E-2</v>
      </c>
      <c r="AB30">
        <f t="shared" si="6"/>
        <v>1.0848820465578515</v>
      </c>
    </row>
    <row r="31" spans="1:28">
      <c r="A31" s="19" t="s">
        <v>54</v>
      </c>
      <c r="B31" s="12">
        <f>+E9</f>
        <v>0.215</v>
      </c>
      <c r="C31" s="12"/>
      <c r="D31" s="12">
        <f>+(2/(1-B32^4))^2*(B30/B31)^2</f>
        <v>6.3862682668512011E-8</v>
      </c>
      <c r="E31" s="33">
        <f>+D31/$D$41</f>
        <v>9.0800669733074332E-6</v>
      </c>
      <c r="K31">
        <v>0.14941909960956073</v>
      </c>
      <c r="L31">
        <v>0.1139474204044694</v>
      </c>
      <c r="M31">
        <v>0.38554644368917435</v>
      </c>
      <c r="O31">
        <f>($B$49^2+$B$51^2+K31^2)^0.5</f>
        <v>0.62547030891012878</v>
      </c>
      <c r="P31">
        <f t="shared" si="2"/>
        <v>0.61795716244480325</v>
      </c>
      <c r="Q31">
        <f t="shared" si="3"/>
        <v>0.445697274213529</v>
      </c>
      <c r="S31">
        <v>3.5753648909935096E-3</v>
      </c>
      <c r="T31">
        <v>6.8504571320306901E-3</v>
      </c>
      <c r="U31">
        <v>6.2590866390202268E-2</v>
      </c>
      <c r="W31">
        <f t="shared" si="0"/>
        <v>0.62548052772427354</v>
      </c>
      <c r="X31">
        <f t="shared" si="4"/>
        <v>0.76455208081661685</v>
      </c>
      <c r="Y31">
        <f t="shared" si="5"/>
        <v>0.45007074643531969</v>
      </c>
      <c r="Z31">
        <f>0.00000776/(60/Test!G31)*100</f>
        <v>2.2653161685333337E-2</v>
      </c>
      <c r="AB31">
        <f t="shared" si="6"/>
        <v>1.0857451898923807</v>
      </c>
    </row>
    <row r="32" spans="1:28">
      <c r="A32" s="19" t="s">
        <v>77</v>
      </c>
      <c r="B32" s="12">
        <f>+B31/B29</f>
        <v>0.71666666666666667</v>
      </c>
      <c r="C32" s="12"/>
      <c r="D32" s="12"/>
      <c r="E32" s="21"/>
      <c r="K32">
        <v>0.15612632072556704</v>
      </c>
      <c r="L32">
        <v>0.11114952036314035</v>
      </c>
      <c r="M32">
        <v>0.38558803475407172</v>
      </c>
      <c r="O32">
        <f>($B$49^2+$B$51^2+K32^2)^0.5</f>
        <v>0.62710642479829737</v>
      </c>
      <c r="P32">
        <f t="shared" si="2"/>
        <v>0.61744737093695379</v>
      </c>
      <c r="Q32">
        <f t="shared" si="3"/>
        <v>0.44573325268091368</v>
      </c>
      <c r="S32">
        <v>2.8364978907531703E-3</v>
      </c>
      <c r="T32">
        <v>7.7481471465440047E-3</v>
      </c>
      <c r="U32">
        <v>6.3402113910713362E-2</v>
      </c>
      <c r="W32">
        <f t="shared" si="0"/>
        <v>0.62711283972151843</v>
      </c>
      <c r="X32">
        <f t="shared" si="4"/>
        <v>0.76445767679926935</v>
      </c>
      <c r="Y32">
        <f t="shared" si="5"/>
        <v>0.45021990248527921</v>
      </c>
      <c r="Z32">
        <f>0.00000776/(60/Test!G32)*100</f>
        <v>2.2644246480000001E-2</v>
      </c>
      <c r="AB32">
        <f t="shared" si="6"/>
        <v>1.0866815429800141</v>
      </c>
    </row>
    <row r="33" spans="1:28">
      <c r="A33" s="19" t="s">
        <v>78</v>
      </c>
      <c r="B33" s="12">
        <v>0.29499999999999998</v>
      </c>
      <c r="C33" s="31">
        <f>+B33/B34</f>
        <v>5.8999999999999992E-4</v>
      </c>
      <c r="D33" s="12"/>
      <c r="E33" s="21"/>
      <c r="K33">
        <v>0.16953322817280736</v>
      </c>
      <c r="L33">
        <v>0.11251371449691877</v>
      </c>
      <c r="M33">
        <v>0.38562637698379337</v>
      </c>
      <c r="O33">
        <f>($B$49^2+$B$51^2+K33^2)^0.5</f>
        <v>0.63057795351145374</v>
      </c>
      <c r="P33">
        <f t="shared" si="2"/>
        <v>0.61769440336617443</v>
      </c>
      <c r="Q33">
        <f t="shared" si="3"/>
        <v>0.44576642159952645</v>
      </c>
      <c r="S33">
        <v>3.6004112299847079E-3</v>
      </c>
      <c r="T33">
        <v>6.0418994593839448E-3</v>
      </c>
      <c r="U33">
        <v>6.2846721377440379E-2</v>
      </c>
      <c r="W33">
        <f t="shared" si="0"/>
        <v>0.63058823206250691</v>
      </c>
      <c r="X33">
        <f t="shared" si="4"/>
        <v>0.76449217811593295</v>
      </c>
      <c r="Y33">
        <f t="shared" si="5"/>
        <v>0.45017486937138151</v>
      </c>
      <c r="Z33">
        <f>0.00000776/(60/Test!G33)*100</f>
        <v>2.2637123058666667E-2</v>
      </c>
      <c r="AB33">
        <f t="shared" si="6"/>
        <v>1.088696312646495</v>
      </c>
    </row>
    <row r="34" spans="1:28">
      <c r="A34" s="19" t="s">
        <v>79</v>
      </c>
      <c r="B34" s="12">
        <f>+E10</f>
        <v>500</v>
      </c>
      <c r="C34" s="12"/>
      <c r="D34" s="12">
        <f>+(1/4)*(B33/B34)^2</f>
        <v>8.7024999999999974E-8</v>
      </c>
      <c r="E34" s="33">
        <f>+D34/$D$41</f>
        <v>1.2373310912316087E-5</v>
      </c>
    </row>
    <row r="35" spans="1:28">
      <c r="A35" s="19" t="s">
        <v>80</v>
      </c>
      <c r="B35" s="12">
        <f>+B36/500*1</f>
        <v>2.4100000000000002E-3</v>
      </c>
      <c r="C35" s="31">
        <f>+B35/B36</f>
        <v>2E-3</v>
      </c>
      <c r="D35" s="12"/>
      <c r="E35" s="21"/>
    </row>
    <row r="36" spans="1:28">
      <c r="A36" s="19" t="s">
        <v>58</v>
      </c>
      <c r="B36" s="12">
        <f>E11</f>
        <v>1.2050000000000001</v>
      </c>
      <c r="C36" s="12"/>
      <c r="D36" s="12">
        <f>+(1/4)*(B35/B36)^2</f>
        <v>9.9999999999999995E-7</v>
      </c>
      <c r="E36" s="33">
        <f>+D36/$D$41</f>
        <v>1.4218110786918804E-4</v>
      </c>
      <c r="K36">
        <v>0.12429416607783281</v>
      </c>
      <c r="L36">
        <v>2.2468213559681844</v>
      </c>
      <c r="M36">
        <v>0.58240590654264779</v>
      </c>
      <c r="O36">
        <f>($B$49^2+$B$51^2+K36^2)^0.5</f>
        <v>0.61994844924476089</v>
      </c>
      <c r="P36">
        <f t="shared" si="2"/>
        <v>2.3274649826871103</v>
      </c>
      <c r="Q36">
        <f t="shared" si="3"/>
        <v>0.62385626547768469</v>
      </c>
      <c r="S36">
        <v>4.8464665947968062E-3</v>
      </c>
      <c r="T36">
        <v>1.6744147079219994E-3</v>
      </c>
      <c r="U36">
        <v>6.1924635180415188E-2</v>
      </c>
      <c r="W36">
        <f t="shared" si="0"/>
        <v>0.61996739265822554</v>
      </c>
      <c r="X36">
        <f t="shared" si="4"/>
        <v>1.3576823291687876</v>
      </c>
      <c r="Y36">
        <f t="shared" si="5"/>
        <v>0.62692208480639044</v>
      </c>
      <c r="Z36">
        <f>0.00000776/(60/Test!G36)*100</f>
        <v>2.0918697571999999E-2</v>
      </c>
      <c r="AB36">
        <f t="shared" si="6"/>
        <v>1.6189903542710569</v>
      </c>
    </row>
    <row r="37" spans="1:28">
      <c r="A37" s="19" t="s">
        <v>81</v>
      </c>
      <c r="B37" s="12">
        <f>0.035*100/1.4/100000</f>
        <v>2.5000000000000005E-5</v>
      </c>
      <c r="C37" s="31">
        <f>+B37/B38</f>
        <v>2.5063611039806535E-5</v>
      </c>
      <c r="D37" s="12"/>
      <c r="E37" s="21"/>
      <c r="K37">
        <v>0.13060765512085093</v>
      </c>
      <c r="L37">
        <v>1.870250920893799</v>
      </c>
      <c r="M37">
        <v>0.47838597772113967</v>
      </c>
      <c r="O37">
        <f>($B$49^2+$B$51^2+K37^2)^0.5</f>
        <v>0.6212450398805347</v>
      </c>
      <c r="P37">
        <f t="shared" si="2"/>
        <v>1.9663991321967429</v>
      </c>
      <c r="Q37">
        <f t="shared" si="3"/>
        <v>0.52806547291051964</v>
      </c>
      <c r="S37">
        <v>3.7005965859494999E-3</v>
      </c>
      <c r="T37">
        <v>1.7253474747028969E-3</v>
      </c>
      <c r="U37">
        <v>5.8589087150072446E-2</v>
      </c>
      <c r="W37">
        <f t="shared" si="0"/>
        <v>0.62125606153281032</v>
      </c>
      <c r="X37">
        <f t="shared" si="4"/>
        <v>1.2065278925345351</v>
      </c>
      <c r="Y37">
        <f t="shared" si="5"/>
        <v>0.53130577336717277</v>
      </c>
      <c r="Z37">
        <f>0.00000776/(60/Test!G37)*100</f>
        <v>2.0854700722666666E-2</v>
      </c>
      <c r="AB37">
        <f t="shared" si="6"/>
        <v>1.4575285221259333</v>
      </c>
    </row>
    <row r="38" spans="1:28">
      <c r="A38" s="19" t="str">
        <f>+A18</f>
        <v>epsilon</v>
      </c>
      <c r="B38" s="32">
        <f>+E18</f>
        <v>0.99746201615938335</v>
      </c>
      <c r="C38" s="12"/>
      <c r="D38" s="12">
        <f>+(B37/B38)^2</f>
        <v>6.2818459835471203E-10</v>
      </c>
      <c r="E38" s="33">
        <f>+D38/$D$41</f>
        <v>8.9315982140433885E-8</v>
      </c>
      <c r="K38">
        <v>0.13571621635573766</v>
      </c>
      <c r="L38">
        <v>1.1861203467081369</v>
      </c>
      <c r="M38">
        <v>0.427956811731036</v>
      </c>
      <c r="O38">
        <f>($B$49^2+$B$51^2+K38^2)^0.5</f>
        <v>0.62233908071236965</v>
      </c>
      <c r="P38">
        <f t="shared" si="2"/>
        <v>1.3325796474789156</v>
      </c>
      <c r="Q38">
        <f t="shared" si="3"/>
        <v>0.4828530135631271</v>
      </c>
      <c r="S38">
        <v>3.5377953825067128E-3</v>
      </c>
      <c r="T38">
        <v>1.9418117335217101E-3</v>
      </c>
      <c r="U38">
        <v>6.2228430447119273E-2</v>
      </c>
      <c r="W38">
        <f t="shared" si="0"/>
        <v>0.62234913623952737</v>
      </c>
      <c r="X38">
        <f t="shared" si="4"/>
        <v>0.96590428703648412</v>
      </c>
      <c r="Y38">
        <f t="shared" si="5"/>
        <v>0.48684639288270931</v>
      </c>
      <c r="Z38">
        <f>0.00000776/(60/Test!G38)*100</f>
        <v>2.0799205988000002E-2</v>
      </c>
      <c r="AB38">
        <f t="shared" si="6"/>
        <v>1.2480951711813411</v>
      </c>
    </row>
    <row r="39" spans="1:28">
      <c r="A39" s="19"/>
      <c r="B39" s="12"/>
      <c r="C39" s="12"/>
      <c r="D39" s="12"/>
      <c r="E39" s="21"/>
      <c r="K39">
        <v>0.14257309889367914</v>
      </c>
      <c r="L39">
        <v>0.55085074077746188</v>
      </c>
      <c r="M39">
        <v>0.40151453771755524</v>
      </c>
      <c r="O39">
        <f>($B$49^2+$B$51^2+K39^2)^0.5</f>
        <v>0.62387028181196991</v>
      </c>
      <c r="P39">
        <f t="shared" si="2"/>
        <v>0.81995340027045349</v>
      </c>
      <c r="Q39">
        <f t="shared" si="3"/>
        <v>0.45958016057978623</v>
      </c>
      <c r="S39">
        <v>2.5609881618499915E-3</v>
      </c>
      <c r="T39">
        <v>2.3556404636165011E-3</v>
      </c>
      <c r="U39">
        <v>6.9507117041212929E-2</v>
      </c>
      <c r="W39">
        <f t="shared" si="0"/>
        <v>0.62387553821937258</v>
      </c>
      <c r="X39">
        <f t="shared" si="4"/>
        <v>0.81062422586526239</v>
      </c>
      <c r="Y39">
        <f t="shared" si="5"/>
        <v>0.46480658699928401</v>
      </c>
      <c r="Z39">
        <f>0.00000776/(60/Test!G39)*100</f>
        <v>2.0739967182666668E-2</v>
      </c>
      <c r="AB39">
        <f t="shared" si="6"/>
        <v>1.1237471389529003</v>
      </c>
    </row>
    <row r="40" spans="1:28">
      <c r="A40" s="19"/>
      <c r="B40" s="12"/>
      <c r="C40" s="12"/>
      <c r="D40" s="12"/>
      <c r="E40" s="21"/>
      <c r="K40">
        <v>0.15500181947795139</v>
      </c>
      <c r="L40">
        <v>0.24555307126148546</v>
      </c>
      <c r="M40">
        <v>0.39156919940525003</v>
      </c>
      <c r="O40">
        <f>($B$49^2+$B$51^2+K40^2)^0.5</f>
        <v>0.6268274116864031</v>
      </c>
      <c r="P40">
        <f t="shared" si="2"/>
        <v>0.65512086732598296</v>
      </c>
      <c r="Q40">
        <f t="shared" si="3"/>
        <v>0.45091732936633572</v>
      </c>
      <c r="S40">
        <v>3.4125636875507229E-3</v>
      </c>
      <c r="T40">
        <v>4.0300551715384998E-3</v>
      </c>
      <c r="U40">
        <v>7.9451762098219941E-2</v>
      </c>
      <c r="W40">
        <f t="shared" si="0"/>
        <v>0.62683670092967358</v>
      </c>
      <c r="X40">
        <f t="shared" si="4"/>
        <v>0.77222876850714728</v>
      </c>
      <c r="Y40">
        <f t="shared" si="5"/>
        <v>0.45786353908493371</v>
      </c>
      <c r="Z40">
        <f>0.00000776/(60/Test!G40)*100</f>
        <v>2.0685813505333338E-2</v>
      </c>
      <c r="AB40">
        <f t="shared" si="6"/>
        <v>1.0951385500685382</v>
      </c>
    </row>
    <row r="41" spans="1:28">
      <c r="A41" s="34" t="s">
        <v>82</v>
      </c>
      <c r="B41" s="23"/>
      <c r="C41" s="23"/>
      <c r="D41" s="35">
        <f>+(D27+D29+D31+D34+D36+D38)^0.5</f>
        <v>7.0332832187525044E-3</v>
      </c>
      <c r="E41" s="36"/>
      <c r="K41">
        <v>0.16670527986713463</v>
      </c>
      <c r="L41">
        <v>0.15566557771266806</v>
      </c>
      <c r="M41">
        <v>0.38908980603507143</v>
      </c>
      <c r="O41">
        <f>($B$49^2+$B$51^2+K41^2)^0.5</f>
        <v>0.62982353904532629</v>
      </c>
      <c r="P41">
        <f t="shared" si="2"/>
        <v>0.62699187561292902</v>
      </c>
      <c r="Q41">
        <f t="shared" si="3"/>
        <v>0.4487659491989221</v>
      </c>
      <c r="S41">
        <v>3.1057460349085482E-3</v>
      </c>
      <c r="T41">
        <v>5.4880056206416854E-3</v>
      </c>
      <c r="U41">
        <v>8.529827100642294E-2</v>
      </c>
      <c r="W41">
        <f t="shared" si="0"/>
        <v>0.62983119642806917</v>
      </c>
      <c r="X41">
        <f t="shared" si="4"/>
        <v>0.76637785268804537</v>
      </c>
      <c r="Y41">
        <f t="shared" si="5"/>
        <v>0.45680047307013016</v>
      </c>
      <c r="Z41">
        <f>0.00000776/(60/Test!G41)*100</f>
        <v>2.0656887846666666E-2</v>
      </c>
      <c r="AB41">
        <f t="shared" si="6"/>
        <v>1.092298369630458</v>
      </c>
    </row>
    <row r="42" spans="1:28">
      <c r="K42">
        <v>0.17756678822829258</v>
      </c>
      <c r="L42">
        <v>0.12699141718293314</v>
      </c>
      <c r="M42">
        <v>0.38822646757679452</v>
      </c>
      <c r="O42">
        <f>($B$49^2+$B$51^2+K42^2)^0.5</f>
        <v>0.63278511698815365</v>
      </c>
      <c r="P42">
        <f t="shared" si="2"/>
        <v>0.62049485093603296</v>
      </c>
      <c r="Q42">
        <f t="shared" si="3"/>
        <v>0.44801762256317096</v>
      </c>
      <c r="S42">
        <v>3.5440569672545125E-3</v>
      </c>
      <c r="T42">
        <v>6.2201641431170853E-3</v>
      </c>
      <c r="U42">
        <v>8.1745726357005846E-2</v>
      </c>
      <c r="W42">
        <f t="shared" si="0"/>
        <v>0.63279504155887512</v>
      </c>
      <c r="X42">
        <f t="shared" si="4"/>
        <v>0.76506035534158512</v>
      </c>
      <c r="Y42">
        <f t="shared" si="5"/>
        <v>0.45541426625083936</v>
      </c>
      <c r="Z42">
        <f>0.00000776/(60/Test!G42)*100</f>
        <v>2.064511334E-2</v>
      </c>
      <c r="AB42">
        <f t="shared" si="6"/>
        <v>1.0925087123435231</v>
      </c>
    </row>
    <row r="43" spans="1:28">
      <c r="A43" t="s">
        <v>83</v>
      </c>
      <c r="K43">
        <v>0.18699917377235536</v>
      </c>
      <c r="L43">
        <v>0.11729596476138548</v>
      </c>
      <c r="M43">
        <v>0.38791370415107918</v>
      </c>
      <c r="O43">
        <f>($B$49^2+$B$51^2+K43^2)^0.5</f>
        <v>0.63549644451526521</v>
      </c>
      <c r="P43">
        <f t="shared" si="2"/>
        <v>0.61858336814798387</v>
      </c>
      <c r="Q43">
        <f t="shared" si="3"/>
        <v>0.44774662686413508</v>
      </c>
      <c r="S43">
        <v>3.1871466366299407E-3</v>
      </c>
      <c r="T43">
        <v>6.7231252150784463E-3</v>
      </c>
      <c r="U43">
        <v>8.0654543358232023E-2</v>
      </c>
      <c r="W43">
        <f t="shared" si="0"/>
        <v>0.6355044365661241</v>
      </c>
      <c r="X43">
        <f t="shared" si="4"/>
        <v>0.76467753864872756</v>
      </c>
      <c r="Y43">
        <f t="shared" si="5"/>
        <v>0.45495296156035286</v>
      </c>
      <c r="Z43">
        <f>0.00000776/(60/Test!G43)*100</f>
        <v>2.0639471432000005E-2</v>
      </c>
      <c r="AB43">
        <f t="shared" si="6"/>
        <v>1.0936205064018465</v>
      </c>
    </row>
    <row r="44" spans="1:28">
      <c r="A44" s="5" t="s">
        <v>84</v>
      </c>
      <c r="B44" s="2">
        <v>0.2</v>
      </c>
      <c r="K44">
        <v>0.21183928190146412</v>
      </c>
      <c r="L44">
        <v>0.11107869767456968</v>
      </c>
      <c r="M44">
        <v>0.38767232186041312</v>
      </c>
      <c r="O44">
        <f>($B$49^2+$B$51^2+K44^2)^0.5</f>
        <v>0.64324406049067251</v>
      </c>
      <c r="P44">
        <f t="shared" si="2"/>
        <v>0.61743462575164865</v>
      </c>
      <c r="Q44">
        <f t="shared" si="3"/>
        <v>0.44753751701577349</v>
      </c>
      <c r="S44">
        <v>3.9072288826268826E-3</v>
      </c>
      <c r="T44">
        <v>6.9204896863544222E-3</v>
      </c>
      <c r="U44">
        <v>8.1813925294429199E-2</v>
      </c>
      <c r="W44">
        <f t="shared" si="0"/>
        <v>0.64325592713481405</v>
      </c>
      <c r="X44">
        <f t="shared" si="4"/>
        <v>0.76444716253686318</v>
      </c>
      <c r="Y44">
        <f t="shared" si="5"/>
        <v>0.45495422572905747</v>
      </c>
      <c r="Z44">
        <f>0.00000776/(60/Test!G44)*100</f>
        <v>2.0636832902666668E-2</v>
      </c>
      <c r="AB44">
        <f t="shared" si="6"/>
        <v>1.0979830957194694</v>
      </c>
    </row>
    <row r="45" spans="1:28">
      <c r="A45" s="37" t="s">
        <v>85</v>
      </c>
      <c r="B45" s="2">
        <v>9.7999999999999997E-3</v>
      </c>
    </row>
    <row r="46" spans="1:28">
      <c r="A46" s="37" t="s">
        <v>86</v>
      </c>
      <c r="B46" s="2">
        <f>(B45^2+B44^2)^0.5</f>
        <v>0.2002399560527319</v>
      </c>
    </row>
    <row r="47" spans="1:28">
      <c r="A47" s="37" t="s">
        <v>87</v>
      </c>
      <c r="B47" s="2">
        <f>0.01</f>
        <v>0.01</v>
      </c>
      <c r="K47">
        <v>0.13825260550413576</v>
      </c>
      <c r="L47">
        <v>2.2474272533235253</v>
      </c>
      <c r="M47">
        <v>0.63600738115784106</v>
      </c>
      <c r="O47">
        <f>($B$49^2+$B$51^2+K47^2)^0.5</f>
        <v>0.62289712066173675</v>
      </c>
      <c r="P47">
        <f t="shared" si="2"/>
        <v>2.3280498918582748</v>
      </c>
      <c r="Q47">
        <f t="shared" si="3"/>
        <v>0.67417014832107125</v>
      </c>
      <c r="S47">
        <v>5.4851482390723544E-3</v>
      </c>
      <c r="T47">
        <v>1.8153447126091429E-3</v>
      </c>
      <c r="U47">
        <v>6.1124847641541184E-2</v>
      </c>
      <c r="W47">
        <f t="shared" si="0"/>
        <v>0.62292127093227989</v>
      </c>
      <c r="X47">
        <f t="shared" si="4"/>
        <v>1.3579331950010094</v>
      </c>
      <c r="Y47">
        <f t="shared" si="5"/>
        <v>0.67693547394597131</v>
      </c>
      <c r="Z47">
        <f>0.00000776/(60/Test!G47)*100</f>
        <v>1.9270485600000001E-2</v>
      </c>
      <c r="AB47">
        <f t="shared" si="6"/>
        <v>1.6403129150766487</v>
      </c>
    </row>
    <row r="48" spans="1:28">
      <c r="A48" s="37" t="s">
        <v>88</v>
      </c>
      <c r="B48" s="2">
        <f>0.1/300*100</f>
        <v>3.333333333333334E-2</v>
      </c>
      <c r="K48">
        <v>0.15169108787133062</v>
      </c>
      <c r="L48">
        <v>1.9049181435030285</v>
      </c>
      <c r="M48">
        <v>0.52145698691198505</v>
      </c>
      <c r="O48">
        <f>($B$49^2+$B$51^2+K48^2)^0.5</f>
        <v>0.62601695355604214</v>
      </c>
      <c r="P48">
        <f t="shared" si="2"/>
        <v>1.99939995334776</v>
      </c>
      <c r="Q48">
        <f t="shared" si="3"/>
        <v>0.56737764249160028</v>
      </c>
      <c r="S48">
        <v>2.9366832467179614E-3</v>
      </c>
      <c r="T48">
        <v>1.7832714844711723E-3</v>
      </c>
      <c r="U48">
        <v>5.3768467929590474E-2</v>
      </c>
      <c r="W48">
        <f t="shared" si="0"/>
        <v>0.62602384159717062</v>
      </c>
      <c r="X48">
        <f t="shared" si="4"/>
        <v>1.2200116455521381</v>
      </c>
      <c r="Y48">
        <f t="shared" si="5"/>
        <v>0.5699196762200982</v>
      </c>
      <c r="Z48">
        <f>0.00000776/(60/Test!G48)*100</f>
        <v>1.9221383941333336E-2</v>
      </c>
      <c r="AB48">
        <f t="shared" si="6"/>
        <v>1.4850966852277183</v>
      </c>
    </row>
    <row r="49" spans="1:28">
      <c r="A49" s="5" t="s">
        <v>89</v>
      </c>
      <c r="B49" s="2">
        <v>0.3448</v>
      </c>
      <c r="K49">
        <v>0.15782281138698984</v>
      </c>
      <c r="L49">
        <v>1.3401840750223597</v>
      </c>
      <c r="M49">
        <v>0.46649800933443653</v>
      </c>
      <c r="O49">
        <f>($B$49^2+$B$51^2+K49^2)^0.5</f>
        <v>0.62753093931223292</v>
      </c>
      <c r="P49">
        <f t="shared" si="2"/>
        <v>1.4713872348717512</v>
      </c>
      <c r="Q49">
        <f t="shared" si="3"/>
        <v>0.51732039657546081</v>
      </c>
      <c r="S49">
        <v>3.1307923738997457E-3</v>
      </c>
      <c r="T49">
        <v>1.930808333905837E-3</v>
      </c>
      <c r="U49">
        <v>5.5539752570815823E-2</v>
      </c>
      <c r="W49">
        <f t="shared" si="0"/>
        <v>0.62753874912628449</v>
      </c>
      <c r="X49">
        <f t="shared" si="4"/>
        <v>1.0150241468165175</v>
      </c>
      <c r="Y49">
        <f t="shared" si="5"/>
        <v>0.52029324119059961</v>
      </c>
      <c r="Z49">
        <f>0.00000776/(60/Test!G49)*100</f>
        <v>1.9184004409333336E-2</v>
      </c>
      <c r="AB49">
        <f t="shared" si="6"/>
        <v>1.3019800240899928</v>
      </c>
    </row>
    <row r="50" spans="1:28">
      <c r="A50" s="5" t="s">
        <v>90</v>
      </c>
      <c r="B50" s="2">
        <v>0.3448</v>
      </c>
      <c r="K50">
        <v>0.16531232461803827</v>
      </c>
      <c r="L50">
        <v>0.67699313751893364</v>
      </c>
      <c r="M50">
        <v>0.42425434461435263</v>
      </c>
      <c r="O50">
        <f>($B$49^2+$B$51^2+K50^2)^0.5</f>
        <v>0.62945627701264495</v>
      </c>
      <c r="P50">
        <f t="shared" si="2"/>
        <v>0.90950906990954727</v>
      </c>
      <c r="Q50">
        <f t="shared" si="3"/>
        <v>0.479574549912893</v>
      </c>
      <c r="S50">
        <v>3.0994844501607485E-3</v>
      </c>
      <c r="T50">
        <v>2.649248644196381E-3</v>
      </c>
      <c r="U50">
        <v>5.348156971305397E-2</v>
      </c>
      <c r="W50">
        <f t="shared" si="0"/>
        <v>0.62946390799987606</v>
      </c>
      <c r="X50">
        <f t="shared" si="4"/>
        <v>0.83416658854464065</v>
      </c>
      <c r="Y50">
        <f t="shared" si="5"/>
        <v>0.48254743520520982</v>
      </c>
      <c r="Z50">
        <f>0.00000776/(60/Test!G50)*100</f>
        <v>1.9142180207999997E-2</v>
      </c>
      <c r="AB50">
        <f t="shared" si="6"/>
        <v>1.1512068272925251</v>
      </c>
    </row>
    <row r="51" spans="1:28">
      <c r="A51" s="37" t="s">
        <v>91</v>
      </c>
      <c r="B51" s="2">
        <v>0.5</v>
      </c>
      <c r="K51">
        <v>0.17905851000152567</v>
      </c>
      <c r="L51">
        <v>0.31349111428649173</v>
      </c>
      <c r="M51">
        <v>0.40432437519059572</v>
      </c>
      <c r="O51">
        <f>($B$49^2+$B$51^2+K51^2)^0.5</f>
        <v>0.6332053300501872</v>
      </c>
      <c r="P51">
        <f t="shared" si="2"/>
        <v>0.68349375910580645</v>
      </c>
      <c r="Q51">
        <f t="shared" si="3"/>
        <v>0.4620370119084245</v>
      </c>
      <c r="S51">
        <v>3.3436862553249285E-3</v>
      </c>
      <c r="T51">
        <v>3.2137374594246653E-3</v>
      </c>
      <c r="U51">
        <v>5.4061603063877757E-2</v>
      </c>
      <c r="W51">
        <f t="shared" si="0"/>
        <v>0.63321415827644012</v>
      </c>
      <c r="X51">
        <f t="shared" si="4"/>
        <v>0.77834853995912223</v>
      </c>
      <c r="Y51">
        <f t="shared" si="5"/>
        <v>0.46518905543778849</v>
      </c>
      <c r="Z51">
        <f>0.00000776/(60/Test!G51)*100</f>
        <v>1.9101083635999997E-2</v>
      </c>
      <c r="AB51">
        <f t="shared" si="6"/>
        <v>1.1061429964491072</v>
      </c>
    </row>
    <row r="52" spans="1:28">
      <c r="A52" s="37" t="s">
        <v>92</v>
      </c>
      <c r="B52" s="2">
        <v>0.5</v>
      </c>
      <c r="K52">
        <v>0.19809241259529237</v>
      </c>
      <c r="L52">
        <v>0.19332647437166861</v>
      </c>
      <c r="M52">
        <v>0.39801084472063292</v>
      </c>
      <c r="O52">
        <f>($B$49^2+$B$51^2+K52^2)^0.5</f>
        <v>0.63884868625350055</v>
      </c>
      <c r="P52">
        <f t="shared" si="2"/>
        <v>0.63738698268240424</v>
      </c>
      <c r="Q52">
        <f t="shared" si="3"/>
        <v>0.45652232422438205</v>
      </c>
      <c r="S52">
        <v>2.8364978907531703E-3</v>
      </c>
      <c r="T52">
        <v>4.6634473712609424E-3</v>
      </c>
      <c r="U52">
        <v>5.6400447220425316E-2</v>
      </c>
      <c r="W52">
        <f t="shared" si="0"/>
        <v>0.63885498326937062</v>
      </c>
      <c r="X52">
        <f t="shared" si="4"/>
        <v>0.76851316256035718</v>
      </c>
      <c r="Y52">
        <f t="shared" si="5"/>
        <v>0.45999309012407547</v>
      </c>
      <c r="Z52">
        <f>0.00000776/(60/Test!G52)*100</f>
        <v>1.9087505317333334E-2</v>
      </c>
      <c r="AB52">
        <f t="shared" si="6"/>
        <v>1.1003209288647402</v>
      </c>
    </row>
    <row r="53" spans="1:28">
      <c r="A53" s="37" t="s">
        <v>93</v>
      </c>
      <c r="B53" s="2">
        <v>0.69</v>
      </c>
      <c r="K53">
        <v>0.21805697890157938</v>
      </c>
      <c r="L53">
        <v>0.14949537553043271</v>
      </c>
      <c r="M53">
        <v>0.39577851148948051</v>
      </c>
      <c r="O53">
        <f>($B$49^2+$B$51^2+K53^2)^0.5</f>
        <v>0.64531843770938691</v>
      </c>
      <c r="P53">
        <f t="shared" si="2"/>
        <v>0.62548853491090073</v>
      </c>
      <c r="Q53">
        <f t="shared" si="3"/>
        <v>0.45457741932131746</v>
      </c>
      <c r="S53">
        <v>3.1996698061255405E-3</v>
      </c>
      <c r="T53">
        <v>5.6833760260484104E-3</v>
      </c>
      <c r="U53">
        <v>5.3200908414268257E-2</v>
      </c>
      <c r="W53">
        <f t="shared" si="0"/>
        <v>0.64532637009078753</v>
      </c>
      <c r="X53">
        <f t="shared" si="4"/>
        <v>0.76607210460451591</v>
      </c>
      <c r="Y53">
        <f t="shared" si="5"/>
        <v>0.45767998297165263</v>
      </c>
      <c r="Z53">
        <f>0.00000776/(60/Test!G53)*100</f>
        <v>1.9075413814666663E-2</v>
      </c>
      <c r="AB53">
        <f t="shared" si="6"/>
        <v>1.1014297215950173</v>
      </c>
    </row>
    <row r="54" spans="1:28">
      <c r="A54" s="37" t="s">
        <v>94</v>
      </c>
      <c r="B54" s="2">
        <v>0.2</v>
      </c>
      <c r="K54">
        <v>0.23503387560494526</v>
      </c>
      <c r="L54">
        <v>0.13141049696125523</v>
      </c>
      <c r="M54">
        <v>0.39480430069215361</v>
      </c>
      <c r="O54">
        <f>($B$49^2+$B$51^2+K54^2)^0.5</f>
        <v>0.65125107499479873</v>
      </c>
      <c r="P54">
        <f t="shared" si="2"/>
        <v>0.62141432129586782</v>
      </c>
      <c r="Q54">
        <f t="shared" si="3"/>
        <v>0.45372947429610572</v>
      </c>
      <c r="S54">
        <v>2.880328983987766E-3</v>
      </c>
      <c r="T54">
        <v>4.9841796526406482E-3</v>
      </c>
      <c r="U54">
        <v>5.2221712327393692E-2</v>
      </c>
      <c r="W54">
        <f t="shared" si="0"/>
        <v>0.65125744446949474</v>
      </c>
      <c r="X54">
        <f t="shared" si="4"/>
        <v>0.76523785425748736</v>
      </c>
      <c r="Y54">
        <f t="shared" si="5"/>
        <v>0.45672480016244521</v>
      </c>
      <c r="Z54">
        <f>0.00000776/(60/Test!G54)*100</f>
        <v>1.9071155385333334E-2</v>
      </c>
      <c r="AB54">
        <f t="shared" si="6"/>
        <v>1.103941341112243</v>
      </c>
    </row>
    <row r="55" spans="1:28">
      <c r="A55" s="37" t="s">
        <v>95</v>
      </c>
      <c r="B55" s="2">
        <v>0.1</v>
      </c>
      <c r="K55">
        <v>0.27058013379550561</v>
      </c>
      <c r="L55">
        <v>0.11525785324331178</v>
      </c>
      <c r="M55">
        <v>0.39423760275231251</v>
      </c>
      <c r="O55">
        <f>($B$49^2+$B$51^2+K55^2)^0.5</f>
        <v>0.66490649628710485</v>
      </c>
      <c r="P55">
        <f t="shared" si="2"/>
        <v>0.61820013970740639</v>
      </c>
      <c r="Q55">
        <f t="shared" si="3"/>
        <v>0.45323645862164508</v>
      </c>
      <c r="S55">
        <v>2.4608028058852004E-3</v>
      </c>
      <c r="T55">
        <v>4.2657393423501042E-3</v>
      </c>
      <c r="U55">
        <v>5.6949295982495152E-2</v>
      </c>
      <c r="W55">
        <f t="shared" si="0"/>
        <v>0.66491104995724293</v>
      </c>
      <c r="X55">
        <f t="shared" si="4"/>
        <v>0.76458239685438334</v>
      </c>
      <c r="Y55">
        <f t="shared" si="5"/>
        <v>0.45680029524595539</v>
      </c>
      <c r="Z55">
        <f>0.00000776/(60/Test!G55)*100</f>
        <v>1.9067995383999999E-2</v>
      </c>
      <c r="AB55">
        <f t="shared" si="6"/>
        <v>1.1116308038731173</v>
      </c>
    </row>
    <row r="58" spans="1:28">
      <c r="K58">
        <v>0.16422264713798007</v>
      </c>
      <c r="L58">
        <v>2.2499786631295828</v>
      </c>
      <c r="M58">
        <v>0.69667995907349844</v>
      </c>
      <c r="O58">
        <f>($B$49^2+$B$51^2+K58^2)^0.5</f>
        <v>0.62917097662956889</v>
      </c>
      <c r="P58">
        <f t="shared" si="2"/>
        <v>2.3305130389119011</v>
      </c>
      <c r="Q58">
        <f t="shared" si="3"/>
        <v>0.73168501786947326</v>
      </c>
      <c r="S58">
        <v>4.5459105269024308E-3</v>
      </c>
      <c r="T58">
        <v>1.9051497513954611E-3</v>
      </c>
      <c r="U58">
        <v>7.1425790561867347E-2</v>
      </c>
      <c r="W58">
        <f t="shared" si="0"/>
        <v>0.62918739905971111</v>
      </c>
      <c r="X58">
        <f t="shared" si="4"/>
        <v>1.3589891749363068</v>
      </c>
      <c r="Y58">
        <f t="shared" si="5"/>
        <v>0.73516298120351464</v>
      </c>
      <c r="Z58">
        <f>0.00000776/(60/Test!G58)*100</f>
        <v>1.7562959938666668E-2</v>
      </c>
      <c r="AB58">
        <f t="shared" si="6"/>
        <v>1.6683828778860788</v>
      </c>
    </row>
    <row r="59" spans="1:28">
      <c r="K59">
        <v>0.18037077544428712</v>
      </c>
      <c r="L59">
        <v>1.9730927253868562</v>
      </c>
      <c r="M59">
        <v>0.58439366307744089</v>
      </c>
      <c r="O59">
        <f>($B$49^2+$B$51^2+K59^2)^0.5</f>
        <v>0.63357766424833306</v>
      </c>
      <c r="P59">
        <f t="shared" si="2"/>
        <v>2.0644568154782341</v>
      </c>
      <c r="Q59">
        <f t="shared" si="3"/>
        <v>0.62571235679429371</v>
      </c>
      <c r="S59">
        <v>3.5377953825067128E-3</v>
      </c>
      <c r="T59">
        <v>1.9051497513954611E-3</v>
      </c>
      <c r="U59">
        <v>6.4754083583871011E-2</v>
      </c>
      <c r="W59">
        <f t="shared" si="0"/>
        <v>0.63358754141045259</v>
      </c>
      <c r="X59">
        <f t="shared" si="4"/>
        <v>1.2468056413102648</v>
      </c>
      <c r="Y59">
        <f t="shared" si="5"/>
        <v>0.62905408732942547</v>
      </c>
      <c r="Z59">
        <f>0.00000776/(60/Test!G59)*100</f>
        <v>1.7526927025333334E-2</v>
      </c>
      <c r="AB59">
        <f t="shared" si="6"/>
        <v>1.5336145923244375</v>
      </c>
    </row>
    <row r="60" spans="1:28">
      <c r="K60">
        <v>0.18943707384642011</v>
      </c>
      <c r="L60">
        <v>1.5362597345636777</v>
      </c>
      <c r="M60">
        <v>0.52569346532564531</v>
      </c>
      <c r="O60">
        <f>($B$49^2+$B$51^2+K60^2)^0.5</f>
        <v>0.63621807970812494</v>
      </c>
      <c r="P60">
        <f t="shared" si="2"/>
        <v>1.6519627756222783</v>
      </c>
      <c r="Q60">
        <f t="shared" si="3"/>
        <v>0.57127368177265569</v>
      </c>
      <c r="S60">
        <v>3.6692886622105027E-3</v>
      </c>
      <c r="T60">
        <v>1.8923204601402723E-3</v>
      </c>
      <c r="U60">
        <v>6.0650769759640434E-2</v>
      </c>
      <c r="W60">
        <f t="shared" si="0"/>
        <v>0.63622866064551087</v>
      </c>
      <c r="X60">
        <f t="shared" si="4"/>
        <v>1.0822541410181954</v>
      </c>
      <c r="Y60">
        <f t="shared" si="5"/>
        <v>0.57448423421232575</v>
      </c>
      <c r="Z60">
        <f>0.00000776/(60/Test!G60)*100</f>
        <v>1.7502368953333333E-2</v>
      </c>
      <c r="AB60">
        <f t="shared" si="6"/>
        <v>1.3807242312117627</v>
      </c>
    </row>
    <row r="61" spans="1:28">
      <c r="K61">
        <v>0.20243359368643085</v>
      </c>
      <c r="L61">
        <v>0.87118657403194755</v>
      </c>
      <c r="M61">
        <v>0.46721108342576595</v>
      </c>
      <c r="O61">
        <f>($B$49^2+$B$51^2+K61^2)^0.5</f>
        <v>0.64020809105540288</v>
      </c>
      <c r="P61">
        <f t="shared" si="2"/>
        <v>1.0620042781333425</v>
      </c>
      <c r="Q61">
        <f t="shared" si="3"/>
        <v>0.51796350882651765</v>
      </c>
      <c r="S61">
        <v>3.068176526421751E-3</v>
      </c>
      <c r="T61">
        <v>2.4439799841133687E-3</v>
      </c>
      <c r="U61">
        <v>5.7073365009752387E-2</v>
      </c>
      <c r="W61">
        <f t="shared" si="0"/>
        <v>0.64021544308146794</v>
      </c>
      <c r="X61">
        <f t="shared" si="4"/>
        <v>0.8780628887474039</v>
      </c>
      <c r="Y61">
        <f t="shared" si="5"/>
        <v>0.52109842205615475</v>
      </c>
      <c r="Z61">
        <f>0.00000776/(60/Test!G61)*100</f>
        <v>1.7469829592E-2</v>
      </c>
      <c r="AB61">
        <f t="shared" si="6"/>
        <v>1.2052879367897216</v>
      </c>
    </row>
    <row r="62" spans="1:28">
      <c r="K62">
        <v>0.23073271580768728</v>
      </c>
      <c r="L62">
        <v>0.39059865400985722</v>
      </c>
      <c r="M62">
        <v>0.43313566265148618</v>
      </c>
      <c r="O62">
        <f>($B$49^2+$B$51^2+K62^2)^0.5</f>
        <v>0.64971118671605999</v>
      </c>
      <c r="P62">
        <f t="shared" si="2"/>
        <v>0.72211796024909403</v>
      </c>
      <c r="Q62">
        <f t="shared" si="3"/>
        <v>0.48744897400706677</v>
      </c>
      <c r="S62">
        <v>2.6361271788235855E-3</v>
      </c>
      <c r="T62">
        <v>2.6107607704308165E-3</v>
      </c>
      <c r="U62">
        <v>5.7966187391775725E-2</v>
      </c>
      <c r="W62">
        <f t="shared" si="0"/>
        <v>0.64971653458296252</v>
      </c>
      <c r="X62">
        <f t="shared" si="4"/>
        <v>0.78701689630164295</v>
      </c>
      <c r="Y62">
        <f t="shared" si="5"/>
        <v>0.49088347002244892</v>
      </c>
      <c r="Z62">
        <f>0.00000776/(60/Test!G62)*100</f>
        <v>1.7440117845333336E-2</v>
      </c>
      <c r="AB62">
        <f t="shared" si="6"/>
        <v>1.1326066877899426</v>
      </c>
    </row>
    <row r="63" spans="1:28">
      <c r="K63">
        <v>0.26195740928576838</v>
      </c>
      <c r="L63">
        <v>0.24466231900131291</v>
      </c>
      <c r="M63">
        <v>0.42121728445310858</v>
      </c>
      <c r="O63">
        <f>($B$49^2+$B$51^2+K63^2)^0.5</f>
        <v>0.6614444226688373</v>
      </c>
      <c r="P63">
        <f t="shared" si="2"/>
        <v>0.65478751541175573</v>
      </c>
      <c r="Q63">
        <f t="shared" si="3"/>
        <v>0.47688992516308309</v>
      </c>
      <c r="S63">
        <v>2.8928521534833649E-3</v>
      </c>
      <c r="T63">
        <v>5.8629861036210481E-3</v>
      </c>
      <c r="U63">
        <v>5.2597022656046308E-2</v>
      </c>
      <c r="W63">
        <f t="shared" si="0"/>
        <v>0.6614507486376392</v>
      </c>
      <c r="X63">
        <f t="shared" si="4"/>
        <v>0.77216982526819766</v>
      </c>
      <c r="Y63">
        <f t="shared" si="5"/>
        <v>0.4797816665050173</v>
      </c>
      <c r="Z63">
        <f>0.00000776/(60/Test!G63)*100</f>
        <v>1.7425206875999997E-2</v>
      </c>
      <c r="AB63">
        <f t="shared" si="6"/>
        <v>1.1243920211727827</v>
      </c>
    </row>
    <row r="64" spans="1:28">
      <c r="K64">
        <v>0.29016526676574739</v>
      </c>
      <c r="L64">
        <v>0.18269509161674372</v>
      </c>
      <c r="M64">
        <v>0.41610355696316603</v>
      </c>
      <c r="O64">
        <f>($B$49^2+$B$51^2+K64^2)^0.5</f>
        <v>0.67311434544008741</v>
      </c>
      <c r="P64">
        <f t="shared" si="2"/>
        <v>0.63424327864065722</v>
      </c>
      <c r="Q64">
        <f t="shared" si="3"/>
        <v>0.47237926512220962</v>
      </c>
      <c r="S64">
        <v>3.055653356926152E-3</v>
      </c>
      <c r="T64">
        <v>5.2728387058823857E-3</v>
      </c>
      <c r="U64">
        <v>5.8565479127654405E-2</v>
      </c>
      <c r="W64">
        <f t="shared" si="0"/>
        <v>0.67312128108883551</v>
      </c>
      <c r="X64">
        <f t="shared" si="4"/>
        <v>0.76786660873951507</v>
      </c>
      <c r="Y64">
        <f t="shared" si="5"/>
        <v>0.4759958880734691</v>
      </c>
      <c r="Z64">
        <f>0.00000776/(60/Test!G64)*100</f>
        <v>1.7417880272000003E-2</v>
      </c>
      <c r="AB64">
        <f t="shared" si="6"/>
        <v>1.1267594489898094</v>
      </c>
    </row>
    <row r="65" spans="11:28">
      <c r="K65">
        <v>0.30724363811194721</v>
      </c>
      <c r="L65">
        <v>0.15904639933565343</v>
      </c>
      <c r="M65">
        <v>0.41407835790001379</v>
      </c>
      <c r="O65">
        <f>($B$49^2+$B$51^2+K65^2)^0.5</f>
        <v>0.68065093341614191</v>
      </c>
      <c r="P65">
        <f t="shared" si="2"/>
        <v>0.62783978620475789</v>
      </c>
      <c r="Q65">
        <f t="shared" si="3"/>
        <v>0.47059630946403724</v>
      </c>
      <c r="S65">
        <v>3.2748088230991337E-3</v>
      </c>
      <c r="T65">
        <v>3.8038848571633273E-3</v>
      </c>
      <c r="U65">
        <v>5.6883793134117296E-2</v>
      </c>
      <c r="W65">
        <f t="shared" si="0"/>
        <v>0.68065881139752615</v>
      </c>
      <c r="X65">
        <f t="shared" si="4"/>
        <v>0.76654116698929364</v>
      </c>
      <c r="Y65">
        <f t="shared" si="5"/>
        <v>0.47402178473409529</v>
      </c>
      <c r="Z65">
        <f>0.00000776/(60/Test!G65)*100</f>
        <v>1.741520552933333E-2</v>
      </c>
      <c r="AB65">
        <f t="shared" si="6"/>
        <v>1.1295493437688002</v>
      </c>
    </row>
    <row r="66" spans="11:28">
      <c r="K66">
        <v>0.3466890790028096</v>
      </c>
      <c r="L66">
        <v>0.13031746503050884</v>
      </c>
      <c r="M66">
        <v>0.41283635840319854</v>
      </c>
      <c r="O66">
        <f>($B$49^2+$B$51^2+K66^2)^0.5</f>
        <v>0.69934280399516258</v>
      </c>
      <c r="P66">
        <f t="shared" si="2"/>
        <v>0.621184096457707</v>
      </c>
      <c r="Q66">
        <f t="shared" si="3"/>
        <v>0.46950384324264505</v>
      </c>
      <c r="S66">
        <v>2.7989283822663731E-3</v>
      </c>
      <c r="T66">
        <v>4.7981549294404194E-3</v>
      </c>
      <c r="U66">
        <v>5.5287720245705697E-2</v>
      </c>
      <c r="W66">
        <f t="shared" si="0"/>
        <v>0.69934840494556461</v>
      </c>
      <c r="X66">
        <f t="shared" si="4"/>
        <v>0.76518993366197263</v>
      </c>
      <c r="Y66">
        <f t="shared" si="5"/>
        <v>0.47274791467502175</v>
      </c>
      <c r="Z66">
        <f>0.00000776/(60/Test!G66)*100</f>
        <v>1.7412403264000002E-2</v>
      </c>
      <c r="AB66">
        <f t="shared" si="6"/>
        <v>1.1394725133563026</v>
      </c>
    </row>
    <row r="67" spans="11:28">
      <c r="Z67">
        <f>0.00000776/(60/Test!G67)*100</f>
        <v>1.7468438870666667E-2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Test</vt:lpstr>
      <vt:lpstr>Usikkerhet</vt:lpstr>
      <vt:lpstr>Ark3</vt:lpstr>
    </vt:vector>
  </TitlesOfParts>
  <Company>SWECO Grøner 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Lien, Kjell Erik</dc:creator>
  <cp:lastModifiedBy>Lien, Kjell Erik</cp:lastModifiedBy>
  <cp:lastPrinted>2010-05-08T13:19:57Z</cp:lastPrinted>
  <dcterms:created xsi:type="dcterms:W3CDTF">2010-05-05T17:43:23Z</dcterms:created>
  <dcterms:modified xsi:type="dcterms:W3CDTF">2010-05-20T20:06:13Z</dcterms:modified>
</cp:coreProperties>
</file>