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70" yWindow="0" windowWidth="18315" windowHeight="12270"/>
  </bookViews>
  <sheets>
    <sheet name="Test" sheetId="1" r:id="rId1"/>
    <sheet name="Usikkerhet" sheetId="2" r:id="rId2"/>
    <sheet name="Ark3" sheetId="3" r:id="rId3"/>
  </sheets>
  <calcPr calcId="125725"/>
</workbook>
</file>

<file path=xl/calcChain.xml><?xml version="1.0" encoding="utf-8"?>
<calcChain xmlns="http://schemas.openxmlformats.org/spreadsheetml/2006/main">
  <c r="I37" i="1"/>
  <c r="I38"/>
  <c r="I39"/>
  <c r="I40"/>
  <c r="I41"/>
  <c r="I42"/>
  <c r="I43"/>
  <c r="I44"/>
  <c r="I45"/>
  <c r="I36"/>
  <c r="J37"/>
  <c r="J38"/>
  <c r="J39"/>
  <c r="J40"/>
  <c r="J41"/>
  <c r="J42"/>
  <c r="J43"/>
  <c r="J44"/>
  <c r="J45"/>
  <c r="J36"/>
  <c r="Y25" i="2"/>
  <c r="Y4"/>
  <c r="Y5"/>
  <c r="Y6"/>
  <c r="Y7"/>
  <c r="Y8"/>
  <c r="Y9"/>
  <c r="Y10"/>
  <c r="Y11"/>
  <c r="Y14"/>
  <c r="Y15"/>
  <c r="Y16"/>
  <c r="Y17"/>
  <c r="Y18"/>
  <c r="Y19"/>
  <c r="Y20"/>
  <c r="Y21"/>
  <c r="Y22"/>
  <c r="Y26"/>
  <c r="Y27"/>
  <c r="Y28"/>
  <c r="Y29"/>
  <c r="Y30"/>
  <c r="Y31"/>
  <c r="Y32"/>
  <c r="Y33"/>
  <c r="Y36"/>
  <c r="Y37"/>
  <c r="Y38"/>
  <c r="Y39"/>
  <c r="Y40"/>
  <c r="Y41"/>
  <c r="Y42"/>
  <c r="Y43"/>
  <c r="Y44"/>
  <c r="Y47"/>
  <c r="Y48"/>
  <c r="Y49"/>
  <c r="Y50"/>
  <c r="Y51"/>
  <c r="Y52"/>
  <c r="Y53"/>
  <c r="Y54"/>
  <c r="Y55"/>
  <c r="Y58"/>
  <c r="Y59"/>
  <c r="Y60"/>
  <c r="Y61"/>
  <c r="Y62"/>
  <c r="Y63"/>
  <c r="Y64"/>
  <c r="Y65"/>
  <c r="Y66"/>
  <c r="W31"/>
  <c r="W32"/>
  <c r="W33"/>
  <c r="W36"/>
  <c r="W37"/>
  <c r="W38"/>
  <c r="W39"/>
  <c r="W40"/>
  <c r="W41"/>
  <c r="W42"/>
  <c r="W43"/>
  <c r="W44"/>
  <c r="W47"/>
  <c r="W48"/>
  <c r="W49"/>
  <c r="W50"/>
  <c r="W51"/>
  <c r="W52"/>
  <c r="W53"/>
  <c r="W54"/>
  <c r="W55"/>
  <c r="W58"/>
  <c r="W59"/>
  <c r="W60"/>
  <c r="W61"/>
  <c r="W62"/>
  <c r="W63"/>
  <c r="X25"/>
  <c r="X26"/>
  <c r="X27"/>
  <c r="X28"/>
  <c r="X29"/>
  <c r="X30"/>
  <c r="X31"/>
  <c r="X32"/>
  <c r="X33"/>
  <c r="X36"/>
  <c r="X37"/>
  <c r="X38"/>
  <c r="X39"/>
  <c r="X40"/>
  <c r="X41"/>
  <c r="X42"/>
  <c r="X43"/>
  <c r="X44"/>
  <c r="X47"/>
  <c r="X48"/>
  <c r="X49"/>
  <c r="X50"/>
  <c r="X51"/>
  <c r="X52"/>
  <c r="X53"/>
  <c r="X54"/>
  <c r="X55"/>
  <c r="X58"/>
  <c r="X59"/>
  <c r="X60"/>
  <c r="X61"/>
  <c r="X62"/>
  <c r="X63"/>
  <c r="X64"/>
  <c r="X65"/>
  <c r="X66"/>
  <c r="W22"/>
  <c r="X22"/>
  <c r="W65"/>
  <c r="W66"/>
  <c r="AB66" s="1"/>
  <c r="Q65"/>
  <c r="Q66"/>
  <c r="P65"/>
  <c r="P66"/>
  <c r="O65"/>
  <c r="O66"/>
  <c r="AB32"/>
  <c r="AB42"/>
  <c r="AB44"/>
  <c r="AB55"/>
  <c r="AB65" l="1"/>
  <c r="J67" i="1"/>
  <c r="I67"/>
  <c r="J66"/>
  <c r="I66"/>
  <c r="J65"/>
  <c r="I65"/>
  <c r="J64"/>
  <c r="I64"/>
  <c r="J63"/>
  <c r="I63"/>
  <c r="J62"/>
  <c r="I62"/>
  <c r="J61"/>
  <c r="I61"/>
  <c r="J60"/>
  <c r="I60"/>
  <c r="J59"/>
  <c r="I59"/>
  <c r="J58"/>
  <c r="I58"/>
  <c r="J56"/>
  <c r="I56"/>
  <c r="J55"/>
  <c r="I55"/>
  <c r="J54"/>
  <c r="I54"/>
  <c r="J53"/>
  <c r="I53"/>
  <c r="J52"/>
  <c r="I52"/>
  <c r="J51"/>
  <c r="I51"/>
  <c r="J50"/>
  <c r="I50"/>
  <c r="J49"/>
  <c r="I49"/>
  <c r="J48"/>
  <c r="I48"/>
  <c r="J47"/>
  <c r="I47"/>
  <c r="J34"/>
  <c r="I34"/>
  <c r="J33"/>
  <c r="I33"/>
  <c r="J32"/>
  <c r="I32"/>
  <c r="J31"/>
  <c r="I31"/>
  <c r="J30"/>
  <c r="I30"/>
  <c r="J29"/>
  <c r="I29"/>
  <c r="J28"/>
  <c r="I28"/>
  <c r="J27"/>
  <c r="I27"/>
  <c r="J26"/>
  <c r="I26"/>
  <c r="J25"/>
  <c r="I25"/>
  <c r="J23"/>
  <c r="I23"/>
  <c r="J22"/>
  <c r="I22"/>
  <c r="J21"/>
  <c r="I21"/>
  <c r="J20"/>
  <c r="I20"/>
  <c r="J19"/>
  <c r="I19"/>
  <c r="J18"/>
  <c r="I18"/>
  <c r="J17"/>
  <c r="I17"/>
  <c r="J16"/>
  <c r="I16"/>
  <c r="J15"/>
  <c r="I15"/>
  <c r="J14"/>
  <c r="I14"/>
  <c r="J12"/>
  <c r="I12"/>
  <c r="J11"/>
  <c r="I11"/>
  <c r="J10"/>
  <c r="I10"/>
  <c r="J9"/>
  <c r="I9"/>
  <c r="J8"/>
  <c r="I8"/>
  <c r="J7"/>
  <c r="I7"/>
  <c r="J6"/>
  <c r="I6"/>
  <c r="J5"/>
  <c r="I5"/>
  <c r="J4"/>
  <c r="I4"/>
  <c r="J3"/>
  <c r="I3"/>
  <c r="Z4" i="2"/>
  <c r="Z5"/>
  <c r="Z6"/>
  <c r="Z7"/>
  <c r="Z8"/>
  <c r="Z9"/>
  <c r="Z10"/>
  <c r="Z11"/>
  <c r="Z14"/>
  <c r="Z15"/>
  <c r="Z16"/>
  <c r="Z17"/>
  <c r="Z18"/>
  <c r="Z19"/>
  <c r="Z20"/>
  <c r="Z21"/>
  <c r="Z22"/>
  <c r="Z25"/>
  <c r="Z26"/>
  <c r="Z27"/>
  <c r="Z28"/>
  <c r="Z29"/>
  <c r="Z30"/>
  <c r="Z31"/>
  <c r="Z32"/>
  <c r="Z33"/>
  <c r="Z36"/>
  <c r="Z37"/>
  <c r="Z38"/>
  <c r="Z39"/>
  <c r="Z40"/>
  <c r="Z41"/>
  <c r="Z42"/>
  <c r="Z43"/>
  <c r="Z44"/>
  <c r="Z47"/>
  <c r="Z48"/>
  <c r="Z49"/>
  <c r="Z50"/>
  <c r="Z51"/>
  <c r="Z52"/>
  <c r="Z53"/>
  <c r="Z54"/>
  <c r="Z55"/>
  <c r="Z58"/>
  <c r="Z59"/>
  <c r="Z60"/>
  <c r="Z61"/>
  <c r="Z62"/>
  <c r="Z63"/>
  <c r="Z64"/>
  <c r="Z65"/>
  <c r="Z66"/>
  <c r="Z3"/>
  <c r="U67" i="1"/>
  <c r="U56"/>
  <c r="U45"/>
  <c r="U34"/>
  <c r="U23"/>
  <c r="U12"/>
  <c r="Q4" i="2" l="1"/>
  <c r="Q5"/>
  <c r="Q6"/>
  <c r="Q7"/>
  <c r="Q8"/>
  <c r="Q9"/>
  <c r="Q10"/>
  <c r="Q11"/>
  <c r="Q14"/>
  <c r="Q15"/>
  <c r="Q16"/>
  <c r="Q17"/>
  <c r="Q18"/>
  <c r="Q19"/>
  <c r="Q20"/>
  <c r="Q21"/>
  <c r="Q22"/>
  <c r="Q25"/>
  <c r="Q26"/>
  <c r="Q27"/>
  <c r="Q28"/>
  <c r="Q29"/>
  <c r="Q30"/>
  <c r="Q31"/>
  <c r="Q32"/>
  <c r="Q33"/>
  <c r="Q36"/>
  <c r="Q37"/>
  <c r="Q38"/>
  <c r="Q39"/>
  <c r="Q40"/>
  <c r="Q41"/>
  <c r="Q42"/>
  <c r="Q43"/>
  <c r="Q44"/>
  <c r="Q47"/>
  <c r="Q48"/>
  <c r="Q49"/>
  <c r="Q50"/>
  <c r="Q51"/>
  <c r="Q52"/>
  <c r="Q53"/>
  <c r="Q54"/>
  <c r="Q55"/>
  <c r="Q58"/>
  <c r="Q59"/>
  <c r="Q60"/>
  <c r="Q61"/>
  <c r="Q62"/>
  <c r="Q63"/>
  <c r="Q64"/>
  <c r="P4"/>
  <c r="P5"/>
  <c r="X5" s="1"/>
  <c r="P6"/>
  <c r="X6" s="1"/>
  <c r="P7"/>
  <c r="P8"/>
  <c r="X8" s="1"/>
  <c r="P9"/>
  <c r="P10"/>
  <c r="X10" s="1"/>
  <c r="P11"/>
  <c r="P14"/>
  <c r="X14" s="1"/>
  <c r="P15"/>
  <c r="X15" s="1"/>
  <c r="P16"/>
  <c r="X16" s="1"/>
  <c r="P17"/>
  <c r="P18"/>
  <c r="P19"/>
  <c r="P20"/>
  <c r="X20" s="1"/>
  <c r="P21"/>
  <c r="P22"/>
  <c r="P25"/>
  <c r="P26"/>
  <c r="P27"/>
  <c r="P28"/>
  <c r="P29"/>
  <c r="P30"/>
  <c r="P31"/>
  <c r="P32"/>
  <c r="P33"/>
  <c r="P36"/>
  <c r="P37"/>
  <c r="P38"/>
  <c r="P39"/>
  <c r="P40"/>
  <c r="P41"/>
  <c r="P42"/>
  <c r="P43"/>
  <c r="P44"/>
  <c r="P47"/>
  <c r="P48"/>
  <c r="P49"/>
  <c r="P50"/>
  <c r="P51"/>
  <c r="P52"/>
  <c r="P53"/>
  <c r="P54"/>
  <c r="P55"/>
  <c r="P58"/>
  <c r="P59"/>
  <c r="P60"/>
  <c r="P61"/>
  <c r="P62"/>
  <c r="P63"/>
  <c r="P64"/>
  <c r="O4"/>
  <c r="O5"/>
  <c r="O6"/>
  <c r="O7"/>
  <c r="O8"/>
  <c r="O9"/>
  <c r="O10"/>
  <c r="O11"/>
  <c r="O14"/>
  <c r="O15"/>
  <c r="O16"/>
  <c r="O17"/>
  <c r="O18"/>
  <c r="O19"/>
  <c r="O20"/>
  <c r="O21"/>
  <c r="O22"/>
  <c r="O25"/>
  <c r="O26"/>
  <c r="O27"/>
  <c r="O28"/>
  <c r="O29"/>
  <c r="O30"/>
  <c r="O31"/>
  <c r="O32"/>
  <c r="O33"/>
  <c r="O36"/>
  <c r="O37"/>
  <c r="O38"/>
  <c r="O39"/>
  <c r="O40"/>
  <c r="O41"/>
  <c r="O42"/>
  <c r="O43"/>
  <c r="O44"/>
  <c r="O47"/>
  <c r="O48"/>
  <c r="O49"/>
  <c r="O50"/>
  <c r="O51"/>
  <c r="O52"/>
  <c r="O53"/>
  <c r="O54"/>
  <c r="O55"/>
  <c r="O58"/>
  <c r="O59"/>
  <c r="O60"/>
  <c r="O61"/>
  <c r="O62"/>
  <c r="O63"/>
  <c r="O64"/>
  <c r="W64" s="1"/>
  <c r="Q3"/>
  <c r="P3"/>
  <c r="X3" s="1"/>
  <c r="O3"/>
  <c r="B48"/>
  <c r="B47"/>
  <c r="B46"/>
  <c r="A38"/>
  <c r="B37"/>
  <c r="B36"/>
  <c r="B35"/>
  <c r="D36" s="1"/>
  <c r="D34"/>
  <c r="B34"/>
  <c r="C33"/>
  <c r="B31"/>
  <c r="W30"/>
  <c r="C30"/>
  <c r="B30"/>
  <c r="W29"/>
  <c r="B29"/>
  <c r="B32" s="1"/>
  <c r="W28"/>
  <c r="B28"/>
  <c r="C28" s="1"/>
  <c r="W27"/>
  <c r="W26"/>
  <c r="W25"/>
  <c r="AB22"/>
  <c r="W21"/>
  <c r="W20"/>
  <c r="W19"/>
  <c r="X18"/>
  <c r="W18"/>
  <c r="W17"/>
  <c r="W16"/>
  <c r="W15"/>
  <c r="W14"/>
  <c r="E13"/>
  <c r="W11"/>
  <c r="X11"/>
  <c r="W10"/>
  <c r="W9"/>
  <c r="X9"/>
  <c r="W8"/>
  <c r="X7"/>
  <c r="W7"/>
  <c r="W6"/>
  <c r="E6"/>
  <c r="E7" s="1"/>
  <c r="W5"/>
  <c r="E5"/>
  <c r="W4"/>
  <c r="X4"/>
  <c r="E4"/>
  <c r="Y3"/>
  <c r="W3"/>
  <c r="AB27" l="1"/>
  <c r="AB5"/>
  <c r="AB9"/>
  <c r="AB11"/>
  <c r="AB14"/>
  <c r="AB16"/>
  <c r="AB20"/>
  <c r="AB28"/>
  <c r="AB3"/>
  <c r="AB4"/>
  <c r="AB6"/>
  <c r="AB7"/>
  <c r="AB8"/>
  <c r="AB10"/>
  <c r="AB64"/>
  <c r="AB15"/>
  <c r="AB18"/>
  <c r="AB31"/>
  <c r="D31"/>
  <c r="E23"/>
  <c r="E17" s="1"/>
  <c r="D29"/>
  <c r="E8"/>
  <c r="E19" s="1"/>
  <c r="X17"/>
  <c r="AB17" s="1"/>
  <c r="E18"/>
  <c r="B38" s="1"/>
  <c r="C37" s="1"/>
  <c r="X19"/>
  <c r="AB19" s="1"/>
  <c r="X21"/>
  <c r="AB21" s="1"/>
  <c r="AB25"/>
  <c r="AB26"/>
  <c r="AB29"/>
  <c r="AB30"/>
  <c r="AB33"/>
  <c r="C35"/>
  <c r="AB36"/>
  <c r="AB37"/>
  <c r="AB38"/>
  <c r="AB39"/>
  <c r="AB40"/>
  <c r="AB43"/>
  <c r="AB48"/>
  <c r="AB49"/>
  <c r="AB50"/>
  <c r="AB51"/>
  <c r="AB52"/>
  <c r="AB53"/>
  <c r="AB54"/>
  <c r="AB41"/>
  <c r="AB47"/>
  <c r="AB58"/>
  <c r="AB59"/>
  <c r="AB60"/>
  <c r="AB61"/>
  <c r="AB62"/>
  <c r="AB63"/>
  <c r="B27" l="1"/>
  <c r="B26" s="1"/>
  <c r="E20"/>
  <c r="E21" s="1"/>
  <c r="E22" s="1"/>
  <c r="D38"/>
  <c r="D27" l="1"/>
  <c r="C26"/>
  <c r="D41" l="1"/>
  <c r="E27"/>
  <c r="E34" l="1"/>
  <c r="E36"/>
  <c r="E29"/>
  <c r="E31"/>
  <c r="E38"/>
</calcChain>
</file>

<file path=xl/sharedStrings.xml><?xml version="1.0" encoding="utf-8"?>
<sst xmlns="http://schemas.openxmlformats.org/spreadsheetml/2006/main" count="130" uniqueCount="98">
  <si>
    <t>Dens [kg/m3]</t>
  </si>
  <si>
    <t>dP [Pa]</t>
  </si>
  <si>
    <t>Q_blende [m3/s]</t>
  </si>
  <si>
    <t>Moment [Nm]</t>
  </si>
  <si>
    <t>Turtall [rpm]</t>
  </si>
  <si>
    <t>Eff</t>
  </si>
  <si>
    <t>C</t>
  </si>
  <si>
    <t>dC [%]</t>
  </si>
  <si>
    <t>Frekvens</t>
  </si>
  <si>
    <t>Åpning Ventil</t>
  </si>
  <si>
    <t>Q_aff</t>
  </si>
  <si>
    <t>P_aff</t>
  </si>
  <si>
    <t>Patm [Pa]</t>
  </si>
  <si>
    <t>dP_Q [Pa]</t>
  </si>
  <si>
    <t>Variabel feil fra kalibrering</t>
  </si>
  <si>
    <t>Total feil fra kalibrering</t>
  </si>
  <si>
    <t>Relativ feil fra test</t>
  </si>
  <si>
    <t>Total feil i variabler</t>
  </si>
  <si>
    <t>Feil i virkn. grad</t>
  </si>
  <si>
    <t>Basis</t>
  </si>
  <si>
    <t>NS-EN ISO 5167-1</t>
  </si>
  <si>
    <t>og</t>
  </si>
  <si>
    <t>NS-EN ISO 5167-2</t>
  </si>
  <si>
    <t>f_dp_a+b</t>
  </si>
  <si>
    <t>f_dpQ_a+b</t>
  </si>
  <si>
    <t>f_t_a+b</t>
  </si>
  <si>
    <t>f_dp_kal</t>
  </si>
  <si>
    <t>f_dpQ_kal</t>
  </si>
  <si>
    <t>f_t_kal</t>
  </si>
  <si>
    <t>f_dP_l</t>
  </si>
  <si>
    <t>f_dPQ_l</t>
  </si>
  <si>
    <t>f_t_l</t>
  </si>
  <si>
    <t>f_dP</t>
  </si>
  <si>
    <t>f_dpQ</t>
  </si>
  <si>
    <t>f_t</t>
  </si>
  <si>
    <t>f_w</t>
  </si>
  <si>
    <t>f_eta</t>
  </si>
  <si>
    <t>Antatt luftmengde (for overslag av Re-tall)</t>
  </si>
  <si>
    <t>m3/s</t>
  </si>
  <si>
    <t>Hastighet i rør</t>
  </si>
  <si>
    <t>m/s</t>
  </si>
  <si>
    <t>Hastighet i blende</t>
  </si>
  <si>
    <t>Dynamisk viskositet for luft</t>
  </si>
  <si>
    <t>Ns/m2</t>
  </si>
  <si>
    <t>Kinematisk viskositet for luft</t>
  </si>
  <si>
    <t>m2/s</t>
  </si>
  <si>
    <t>Reynoldstall</t>
  </si>
  <si>
    <t>Blendediameter</t>
  </si>
  <si>
    <t>d</t>
  </si>
  <si>
    <t>m</t>
  </si>
  <si>
    <t>delta p</t>
  </si>
  <si>
    <t>Pa</t>
  </si>
  <si>
    <t>rho</t>
  </si>
  <si>
    <t>kg/m3</t>
  </si>
  <si>
    <t>Rørdiameter</t>
  </si>
  <si>
    <t>D</t>
  </si>
  <si>
    <t>Beta</t>
  </si>
  <si>
    <t>l1</t>
  </si>
  <si>
    <t>l2</t>
  </si>
  <si>
    <t>p1</t>
  </si>
  <si>
    <t>p2</t>
  </si>
  <si>
    <t>epsilon</t>
  </si>
  <si>
    <t>Discharge coeffisient</t>
  </si>
  <si>
    <t>Volumstrøm</t>
  </si>
  <si>
    <t>kg/s</t>
  </si>
  <si>
    <t>m3/h</t>
  </si>
  <si>
    <t>Trykktap (statisk trykkdifferanse rørvegg før og etter blende)</t>
  </si>
  <si>
    <t>Beregning av målefeil</t>
  </si>
  <si>
    <t>dC</t>
  </si>
  <si>
    <t>dD</t>
  </si>
  <si>
    <t>dd</t>
  </si>
  <si>
    <t>beta</t>
  </si>
  <si>
    <t>d(delta)p</t>
  </si>
  <si>
    <t>(delta)p</t>
  </si>
  <si>
    <t>drho</t>
  </si>
  <si>
    <t>depsilon</t>
  </si>
  <si>
    <t>Målefeil for volumstrøm fra blende</t>
  </si>
  <si>
    <t>Konstante feil</t>
  </si>
  <si>
    <t>f_Ttemp</t>
  </si>
  <si>
    <t>f_Patm</t>
  </si>
  <si>
    <t>f_rho</t>
  </si>
  <si>
    <t>f_d</t>
  </si>
  <si>
    <t>f_D</t>
  </si>
  <si>
    <t>f_dP_a+b</t>
  </si>
  <si>
    <t>f_dPQ_a+b</t>
  </si>
  <si>
    <t>f_dP_f</t>
  </si>
  <si>
    <t>f_dPQ_f</t>
  </si>
  <si>
    <t>f_C</t>
  </si>
  <si>
    <t>f_s</t>
  </si>
  <si>
    <t>f_lodd</t>
  </si>
  <si>
    <t>T [K]</t>
  </si>
  <si>
    <t>Std_dP</t>
  </si>
  <si>
    <t>Std_dP_Q</t>
  </si>
  <si>
    <t>Std_mom</t>
  </si>
  <si>
    <t>rør av</t>
  </si>
  <si>
    <t>verifisernig</t>
  </si>
  <si>
    <t>nytt punkt</t>
  </si>
  <si>
    <t>Avvik [%]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</si>
</sst>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164" formatCode="0.0000"/>
    <numFmt numFmtId="165" formatCode="0.0"/>
    <numFmt numFmtId="166" formatCode="_(* #,##0.000_);_(* \(#,##0.000\);_(* &quot;-&quot;??_);_(@_)"/>
    <numFmt numFmtId="167" formatCode="_(* #,##0.0_);_(* \(#,##0.0\);_(* &quot;-&quot;??_);_(@_)"/>
    <numFmt numFmtId="168" formatCode="0.0000\ %"/>
  </numFmts>
  <fonts count="7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8">
    <xf numFmtId="0" fontId="0" fillId="0" borderId="0" xfId="0"/>
    <xf numFmtId="0" fontId="1" fillId="2" borderId="0" xfId="1"/>
    <xf numFmtId="164" fontId="0" fillId="0" borderId="0" xfId="0" applyNumberFormat="1"/>
    <xf numFmtId="0" fontId="3" fillId="0" borderId="1" xfId="0" applyFont="1" applyBorder="1"/>
    <xf numFmtId="0" fontId="3" fillId="0" borderId="2" xfId="0" applyFont="1" applyBorder="1"/>
    <xf numFmtId="0" fontId="3" fillId="0" borderId="0" xfId="0" applyFont="1" applyFill="1" applyBorder="1"/>
    <xf numFmtId="165" fontId="3" fillId="0" borderId="0" xfId="0" applyNumberFormat="1" applyFont="1"/>
    <xf numFmtId="11" fontId="4" fillId="0" borderId="0" xfId="2" applyNumberFormat="1" applyFont="1"/>
    <xf numFmtId="11" fontId="3" fillId="0" borderId="0" xfId="2" applyNumberFormat="1" applyFont="1"/>
    <xf numFmtId="0" fontId="0" fillId="3" borderId="0" xfId="0" applyFill="1"/>
    <xf numFmtId="0" fontId="0" fillId="4" borderId="0" xfId="0" applyFill="1"/>
    <xf numFmtId="0" fontId="3" fillId="0" borderId="0" xfId="0" applyFont="1"/>
    <xf numFmtId="0" fontId="0" fillId="0" borderId="0" xfId="0" applyBorder="1"/>
    <xf numFmtId="0" fontId="3" fillId="0" borderId="0" xfId="0" applyFont="1" applyBorder="1"/>
    <xf numFmtId="1" fontId="3" fillId="0" borderId="0" xfId="0" applyNumberFormat="1" applyFont="1" applyBorder="1"/>
    <xf numFmtId="0" fontId="0" fillId="0" borderId="0" xfId="0" applyFill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" fontId="0" fillId="0" borderId="0" xfId="0" applyNumberForma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164" fontId="3" fillId="0" borderId="9" xfId="0" applyNumberFormat="1" applyFont="1" applyBorder="1"/>
    <xf numFmtId="0" fontId="0" fillId="0" borderId="10" xfId="0" applyBorder="1"/>
    <xf numFmtId="164" fontId="3" fillId="0" borderId="0" xfId="0" applyNumberFormat="1" applyFont="1"/>
    <xf numFmtId="166" fontId="3" fillId="0" borderId="0" xfId="2" applyNumberFormat="1" applyFont="1"/>
    <xf numFmtId="167" fontId="3" fillId="4" borderId="0" xfId="2" applyNumberFormat="1" applyFont="1" applyFill="1"/>
    <xf numFmtId="1" fontId="3" fillId="0" borderId="0" xfId="0" applyNumberFormat="1" applyFont="1"/>
    <xf numFmtId="0" fontId="3" fillId="0" borderId="3" xfId="0" applyFont="1" applyBorder="1"/>
    <xf numFmtId="10" fontId="0" fillId="0" borderId="0" xfId="3" applyNumberFormat="1" applyFont="1" applyBorder="1"/>
    <xf numFmtId="164" fontId="0" fillId="0" borderId="0" xfId="0" applyNumberFormat="1" applyBorder="1"/>
    <xf numFmtId="10" fontId="0" fillId="0" borderId="7" xfId="3" applyNumberFormat="1" applyFont="1" applyBorder="1"/>
    <xf numFmtId="0" fontId="3" fillId="0" borderId="8" xfId="0" applyFont="1" applyBorder="1"/>
    <xf numFmtId="168" fontId="5" fillId="0" borderId="9" xfId="3" applyNumberFormat="1" applyFont="1" applyBorder="1"/>
    <xf numFmtId="10" fontId="0" fillId="0" borderId="10" xfId="3" applyNumberFormat="1" applyFont="1" applyBorder="1"/>
    <xf numFmtId="0" fontId="6" fillId="0" borderId="0" xfId="0" applyFont="1"/>
  </cellXfs>
  <cellStyles count="4">
    <cellStyle name="God" xfId="1" builtinId="26"/>
    <cellStyle name="Normal" xfId="0" builtinId="0"/>
    <cellStyle name="Prosent" xfId="3" builtinId="5"/>
    <cellStyle name="Tusenskille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U67"/>
  <sheetViews>
    <sheetView tabSelected="1" topLeftCell="A7" zoomScale="55" zoomScaleNormal="55" workbookViewId="0">
      <selection activeCell="J41" sqref="J41"/>
    </sheetView>
  </sheetViews>
  <sheetFormatPr baseColWidth="10" defaultRowHeight="15"/>
  <cols>
    <col min="2" max="2" width="14.140625" bestFit="1" customWidth="1"/>
    <col min="7" max="7" width="12.7109375" customWidth="1"/>
  </cols>
  <sheetData>
    <row r="2" spans="1:21">
      <c r="A2" t="s">
        <v>90</v>
      </c>
      <c r="B2" t="s">
        <v>12</v>
      </c>
      <c r="C2" t="s">
        <v>0</v>
      </c>
      <c r="D2" t="s">
        <v>1</v>
      </c>
      <c r="E2" t="s">
        <v>2</v>
      </c>
      <c r="F2" t="s">
        <v>3</v>
      </c>
      <c r="G2" t="s">
        <v>4</v>
      </c>
      <c r="H2" t="s">
        <v>5</v>
      </c>
      <c r="I2" t="s">
        <v>10</v>
      </c>
      <c r="J2" t="s">
        <v>11</v>
      </c>
      <c r="K2" t="s">
        <v>6</v>
      </c>
      <c r="L2" t="s">
        <v>7</v>
      </c>
      <c r="M2" t="s">
        <v>8</v>
      </c>
      <c r="N2" t="s">
        <v>13</v>
      </c>
      <c r="O2" t="s">
        <v>91</v>
      </c>
      <c r="P2" t="s">
        <v>92</v>
      </c>
      <c r="Q2" t="s">
        <v>93</v>
      </c>
      <c r="R2" t="s">
        <v>9</v>
      </c>
    </row>
    <row r="3" spans="1:21">
      <c r="A3">
        <v>295.14999999999998</v>
      </c>
      <c r="B3">
        <v>101580</v>
      </c>
      <c r="C3">
        <v>1.1989700000000001</v>
      </c>
      <c r="D3">
        <v>881.15053999999998</v>
      </c>
      <c r="E3">
        <v>3.202E-2</v>
      </c>
      <c r="F3">
        <v>1.2566200000000001</v>
      </c>
      <c r="G3">
        <v>2057.17515</v>
      </c>
      <c r="H3">
        <v>0.10423</v>
      </c>
      <c r="I3" s="2">
        <f>E3*2000/G3</f>
        <v>3.1130066878359872E-2</v>
      </c>
      <c r="J3" s="2">
        <f>D3*(2000/G3)^2</f>
        <v>832.85148405862685</v>
      </c>
      <c r="K3">
        <v>0.63029999999999997</v>
      </c>
      <c r="L3">
        <v>0</v>
      </c>
      <c r="M3">
        <v>75</v>
      </c>
      <c r="N3">
        <v>0.86606000000000005</v>
      </c>
      <c r="O3">
        <v>6.6800000000000002E-3</v>
      </c>
      <c r="P3">
        <v>2.7200000000000002E-3</v>
      </c>
      <c r="Q3">
        <v>0.20460999999999999</v>
      </c>
      <c r="R3">
        <v>90</v>
      </c>
    </row>
    <row r="4" spans="1:21">
      <c r="A4">
        <v>295.14999999999998</v>
      </c>
      <c r="B4">
        <v>101580</v>
      </c>
      <c r="C4">
        <v>1.1989700000000001</v>
      </c>
      <c r="D4">
        <v>798.73855000000003</v>
      </c>
      <c r="E4">
        <v>0.13708999999999999</v>
      </c>
      <c r="F4">
        <v>1.84643</v>
      </c>
      <c r="G4">
        <v>2037.9590800000001</v>
      </c>
      <c r="H4">
        <v>0.27788000000000002</v>
      </c>
      <c r="I4" s="2">
        <f t="shared" ref="I4:I12" si="0">E4*2000/G4</f>
        <v>0.1345365580156791</v>
      </c>
      <c r="J4" s="2">
        <f t="shared" ref="J4:J12" si="1">D4*(2000/G4)^2</f>
        <v>769.2610045286076</v>
      </c>
      <c r="K4">
        <v>0.61619999999999997</v>
      </c>
      <c r="L4">
        <v>0</v>
      </c>
      <c r="M4">
        <v>75</v>
      </c>
      <c r="N4">
        <v>16.607060000000001</v>
      </c>
      <c r="O4">
        <v>5.2100000000000002E-3</v>
      </c>
      <c r="P4">
        <v>2.81E-3</v>
      </c>
      <c r="Q4">
        <v>0.26132</v>
      </c>
      <c r="R4">
        <v>60</v>
      </c>
    </row>
    <row r="5" spans="1:21">
      <c r="A5">
        <v>295.14999999999998</v>
      </c>
      <c r="B5">
        <v>101580</v>
      </c>
      <c r="C5">
        <v>1.1989700000000001</v>
      </c>
      <c r="D5">
        <v>752.37633000000005</v>
      </c>
      <c r="E5">
        <v>0.21781</v>
      </c>
      <c r="F5">
        <v>2.1951900000000002</v>
      </c>
      <c r="G5">
        <v>2024.4761599999999</v>
      </c>
      <c r="H5">
        <v>0.35213</v>
      </c>
      <c r="I5" s="2">
        <f t="shared" si="0"/>
        <v>0.215176650931765</v>
      </c>
      <c r="J5" s="2">
        <f t="shared" si="1"/>
        <v>734.2936651602131</v>
      </c>
      <c r="K5">
        <v>0.61209999999999998</v>
      </c>
      <c r="L5">
        <v>0</v>
      </c>
      <c r="M5">
        <v>75</v>
      </c>
      <c r="N5">
        <v>42.48451</v>
      </c>
      <c r="O5">
        <v>6.0499999999999998E-3</v>
      </c>
      <c r="P5">
        <v>2.8500000000000001E-3</v>
      </c>
      <c r="Q5">
        <v>0.25097000000000003</v>
      </c>
      <c r="R5">
        <v>50</v>
      </c>
    </row>
    <row r="6" spans="1:21">
      <c r="A6">
        <v>295.14999999999998</v>
      </c>
      <c r="B6">
        <v>101580</v>
      </c>
      <c r="C6">
        <v>1.1989700000000001</v>
      </c>
      <c r="D6">
        <v>703.88376000000005</v>
      </c>
      <c r="E6">
        <v>0.31403999999999999</v>
      </c>
      <c r="F6">
        <v>2.55844</v>
      </c>
      <c r="G6">
        <v>2009.55927</v>
      </c>
      <c r="H6">
        <v>0.41055999999999998</v>
      </c>
      <c r="I6" s="2">
        <f t="shared" si="0"/>
        <v>0.31254614351334853</v>
      </c>
      <c r="J6" s="2">
        <f t="shared" si="1"/>
        <v>697.20307997159523</v>
      </c>
      <c r="K6">
        <v>0.60970000000000002</v>
      </c>
      <c r="L6">
        <v>0</v>
      </c>
      <c r="M6">
        <v>75</v>
      </c>
      <c r="N6">
        <v>89.009289999999993</v>
      </c>
      <c r="O6">
        <v>4.5100000000000001E-3</v>
      </c>
      <c r="P6">
        <v>4.47E-3</v>
      </c>
      <c r="Q6">
        <v>0.21457000000000001</v>
      </c>
      <c r="R6">
        <v>40</v>
      </c>
    </row>
    <row r="7" spans="1:21">
      <c r="A7">
        <v>295.14999999999998</v>
      </c>
      <c r="B7">
        <v>101580</v>
      </c>
      <c r="C7">
        <v>1.1989700000000001</v>
      </c>
      <c r="D7">
        <v>648.28048000000001</v>
      </c>
      <c r="E7">
        <v>0.42570000000000002</v>
      </c>
      <c r="F7">
        <v>2.8942700000000001</v>
      </c>
      <c r="G7">
        <v>1992.6253400000001</v>
      </c>
      <c r="H7">
        <v>0.45695999999999998</v>
      </c>
      <c r="I7" s="2">
        <f t="shared" si="0"/>
        <v>0.42727550579076751</v>
      </c>
      <c r="J7" s="2">
        <f t="shared" si="1"/>
        <v>653.08790157825649</v>
      </c>
      <c r="K7">
        <v>0.60799999999999998</v>
      </c>
      <c r="L7">
        <v>0</v>
      </c>
      <c r="M7">
        <v>75</v>
      </c>
      <c r="N7">
        <v>164.48058</v>
      </c>
      <c r="O7">
        <v>4.2399999999999998E-3</v>
      </c>
      <c r="P7">
        <v>7.7600000000000004E-3</v>
      </c>
      <c r="Q7">
        <v>0.17865</v>
      </c>
      <c r="R7">
        <v>30</v>
      </c>
    </row>
    <row r="8" spans="1:21">
      <c r="A8">
        <v>295.14999999999998</v>
      </c>
      <c r="B8">
        <v>101580</v>
      </c>
      <c r="C8">
        <v>1.1989700000000001</v>
      </c>
      <c r="D8">
        <v>598.04303000000004</v>
      </c>
      <c r="E8">
        <v>0.51332</v>
      </c>
      <c r="F8">
        <v>3.0473499999999998</v>
      </c>
      <c r="G8">
        <v>1983.56149</v>
      </c>
      <c r="H8">
        <v>0.48498000000000002</v>
      </c>
      <c r="I8" s="2">
        <f t="shared" si="0"/>
        <v>0.51757407328975724</v>
      </c>
      <c r="J8" s="2">
        <f t="shared" si="1"/>
        <v>607.99651285117238</v>
      </c>
      <c r="K8">
        <v>0.60699999999999998</v>
      </c>
      <c r="L8">
        <v>0</v>
      </c>
      <c r="M8">
        <v>75</v>
      </c>
      <c r="N8">
        <v>239.94344000000001</v>
      </c>
      <c r="O8">
        <v>6.4400000000000004E-3</v>
      </c>
      <c r="P8">
        <v>7.8600000000000007E-3</v>
      </c>
      <c r="Q8">
        <v>0.16011</v>
      </c>
      <c r="R8">
        <v>20</v>
      </c>
    </row>
    <row r="9" spans="1:21">
      <c r="A9">
        <v>295.14999999999998</v>
      </c>
      <c r="B9">
        <v>101580</v>
      </c>
      <c r="C9">
        <v>1.1989700000000001</v>
      </c>
      <c r="D9">
        <v>550.89413999999999</v>
      </c>
      <c r="E9">
        <v>0.57116999999999996</v>
      </c>
      <c r="F9">
        <v>3.1000899999999998</v>
      </c>
      <c r="G9">
        <v>1979.72129</v>
      </c>
      <c r="H9">
        <v>0.48958000000000002</v>
      </c>
      <c r="I9" s="2">
        <f t="shared" si="0"/>
        <v>0.57702061687683315</v>
      </c>
      <c r="J9" s="2">
        <f t="shared" si="1"/>
        <v>562.2377954948148</v>
      </c>
      <c r="K9">
        <v>0.60640000000000005</v>
      </c>
      <c r="L9">
        <v>0</v>
      </c>
      <c r="M9">
        <v>75</v>
      </c>
      <c r="N9">
        <v>297.66309000000001</v>
      </c>
      <c r="O9">
        <v>9.5099999999999994E-3</v>
      </c>
      <c r="P9">
        <v>2.2689999999999998E-2</v>
      </c>
      <c r="Q9">
        <v>0.16269</v>
      </c>
      <c r="R9">
        <v>10</v>
      </c>
    </row>
    <row r="10" spans="1:21">
      <c r="A10">
        <v>295.14999999999998</v>
      </c>
      <c r="B10">
        <v>101580</v>
      </c>
      <c r="C10">
        <v>1.1989700000000001</v>
      </c>
      <c r="D10">
        <v>515.04998999999998</v>
      </c>
      <c r="E10">
        <v>0.60984000000000005</v>
      </c>
      <c r="F10">
        <v>3.1229800000000001</v>
      </c>
      <c r="G10">
        <v>1978.0494699999999</v>
      </c>
      <c r="H10">
        <v>0.48554000000000003</v>
      </c>
      <c r="I10" s="2">
        <f t="shared" si="0"/>
        <v>0.61660742994461104</v>
      </c>
      <c r="J10" s="2">
        <f t="shared" si="1"/>
        <v>526.54449505878802</v>
      </c>
      <c r="K10">
        <v>0.60619999999999996</v>
      </c>
      <c r="L10">
        <v>0</v>
      </c>
      <c r="M10">
        <v>75</v>
      </c>
      <c r="N10">
        <v>339.55234000000002</v>
      </c>
      <c r="O10">
        <v>7.28E-3</v>
      </c>
      <c r="P10">
        <v>1.6310000000000002E-2</v>
      </c>
      <c r="Q10">
        <v>0.16014999999999999</v>
      </c>
      <c r="R10">
        <v>0</v>
      </c>
    </row>
    <row r="11" spans="1:21">
      <c r="A11">
        <v>295.14999999999998</v>
      </c>
      <c r="B11">
        <v>101580</v>
      </c>
      <c r="C11">
        <v>1.1989700000000001</v>
      </c>
      <c r="D11">
        <v>468.12443000000002</v>
      </c>
      <c r="E11">
        <v>0.65776999999999997</v>
      </c>
      <c r="F11">
        <v>3.1258699999999999</v>
      </c>
      <c r="G11">
        <v>1976.42598</v>
      </c>
      <c r="H11">
        <v>0.47593999999999997</v>
      </c>
      <c r="I11" s="2">
        <f t="shared" si="0"/>
        <v>0.66561561794487234</v>
      </c>
      <c r="J11" s="2">
        <f t="shared" si="1"/>
        <v>479.35823157114891</v>
      </c>
      <c r="K11">
        <v>0.60589999999999999</v>
      </c>
      <c r="L11">
        <v>0</v>
      </c>
      <c r="M11">
        <v>75</v>
      </c>
      <c r="N11">
        <v>395.41611999999998</v>
      </c>
      <c r="O11">
        <v>6.4200000000000004E-3</v>
      </c>
      <c r="P11">
        <v>1.7059999999999999E-2</v>
      </c>
      <c r="Q11">
        <v>0.16441</v>
      </c>
      <c r="R11" t="s">
        <v>94</v>
      </c>
    </row>
    <row r="12" spans="1:21">
      <c r="A12">
        <v>295.14999999999998</v>
      </c>
      <c r="B12">
        <v>101580</v>
      </c>
      <c r="C12">
        <v>1.1989700000000001</v>
      </c>
      <c r="D12">
        <v>750.12114999999994</v>
      </c>
      <c r="E12">
        <v>0.21767</v>
      </c>
      <c r="F12">
        <v>2.2043699999999999</v>
      </c>
      <c r="G12">
        <v>2021.2481600000001</v>
      </c>
      <c r="H12">
        <v>0.34993999999999997</v>
      </c>
      <c r="I12" s="2">
        <f t="shared" si="0"/>
        <v>0.21538176687814525</v>
      </c>
      <c r="J12" s="2">
        <f t="shared" si="1"/>
        <v>734.43290587449076</v>
      </c>
      <c r="K12">
        <v>0.61209999999999998</v>
      </c>
      <c r="L12">
        <v>0</v>
      </c>
      <c r="M12">
        <v>75</v>
      </c>
      <c r="N12">
        <v>42.428870000000003</v>
      </c>
      <c r="O12">
        <v>4.9699999999999996E-3</v>
      </c>
      <c r="P12">
        <v>3.3899999999999998E-3</v>
      </c>
      <c r="Q12">
        <v>0.24690999999999999</v>
      </c>
      <c r="R12">
        <v>50</v>
      </c>
      <c r="S12" t="s">
        <v>95</v>
      </c>
      <c r="T12" t="s">
        <v>97</v>
      </c>
      <c r="U12" s="1">
        <f>100*(H5-H12)/H5</f>
        <v>0.62192940107347439</v>
      </c>
    </row>
    <row r="13" spans="1:21">
      <c r="R13" t="s">
        <v>96</v>
      </c>
    </row>
    <row r="14" spans="1:21">
      <c r="A14">
        <v>295.14999999999998</v>
      </c>
      <c r="B14">
        <v>101580</v>
      </c>
      <c r="C14">
        <v>1.1989700000000001</v>
      </c>
      <c r="D14">
        <v>782.56934000000001</v>
      </c>
      <c r="E14">
        <v>3.5580000000000001E-2</v>
      </c>
      <c r="F14">
        <v>1.14696</v>
      </c>
      <c r="G14">
        <v>1937.8375799999999</v>
      </c>
      <c r="H14">
        <v>0.11962</v>
      </c>
      <c r="I14" s="2">
        <f>E14*1900/G14</f>
        <v>3.4885276608166517E-2</v>
      </c>
      <c r="J14" s="2">
        <f>D14*(1900/G14)^2</f>
        <v>752.30731229495632</v>
      </c>
      <c r="K14">
        <v>0.64239999999999997</v>
      </c>
      <c r="L14">
        <v>0</v>
      </c>
      <c r="M14">
        <v>70.45</v>
      </c>
      <c r="N14">
        <v>1.02911</v>
      </c>
      <c r="O14">
        <v>6.7799999999999996E-3</v>
      </c>
      <c r="P14">
        <v>2.7499999999999998E-3</v>
      </c>
      <c r="Q14">
        <v>0.22808999999999999</v>
      </c>
      <c r="R14">
        <v>90</v>
      </c>
    </row>
    <row r="15" spans="1:21">
      <c r="A15">
        <v>295.14999999999998</v>
      </c>
      <c r="B15">
        <v>101580</v>
      </c>
      <c r="C15">
        <v>1.1989700000000001</v>
      </c>
      <c r="D15">
        <v>715.61488999999995</v>
      </c>
      <c r="E15">
        <v>0.12131</v>
      </c>
      <c r="F15">
        <v>1.6266099999999999</v>
      </c>
      <c r="G15">
        <v>1924.23549</v>
      </c>
      <c r="H15">
        <v>0.26484999999999997</v>
      </c>
      <c r="I15" s="2">
        <f t="shared" ref="I15:I23" si="2">E15*1900/G15</f>
        <v>0.11978211668884664</v>
      </c>
      <c r="J15" s="2">
        <f t="shared" ref="J15:J23" si="3">D15*(1900/G15)^2</f>
        <v>697.70225980110251</v>
      </c>
      <c r="K15">
        <v>0.61760000000000004</v>
      </c>
      <c r="L15">
        <v>0</v>
      </c>
      <c r="M15">
        <v>70.45</v>
      </c>
      <c r="N15">
        <v>12.94439</v>
      </c>
      <c r="O15">
        <v>7.2899999999999996E-3</v>
      </c>
      <c r="P15">
        <v>2.7000000000000001E-3</v>
      </c>
      <c r="Q15">
        <v>0.16938</v>
      </c>
      <c r="R15">
        <v>60</v>
      </c>
    </row>
    <row r="16" spans="1:21">
      <c r="A16">
        <v>295.14999999999998</v>
      </c>
      <c r="B16">
        <v>101580</v>
      </c>
      <c r="C16">
        <v>1.1989700000000001</v>
      </c>
      <c r="D16">
        <v>675.77520000000004</v>
      </c>
      <c r="E16">
        <v>0.19706000000000001</v>
      </c>
      <c r="F16">
        <v>1.94371</v>
      </c>
      <c r="G16">
        <v>1914.7181800000001</v>
      </c>
      <c r="H16">
        <v>0.3417</v>
      </c>
      <c r="I16" s="2">
        <f t="shared" si="2"/>
        <v>0.19554522639984545</v>
      </c>
      <c r="J16" s="2">
        <f t="shared" si="3"/>
        <v>665.42594478153762</v>
      </c>
      <c r="K16">
        <v>0.6129</v>
      </c>
      <c r="L16">
        <v>0</v>
      </c>
      <c r="M16">
        <v>70.45</v>
      </c>
      <c r="N16">
        <v>34.685400000000001</v>
      </c>
      <c r="O16">
        <v>5.3899999999999998E-3</v>
      </c>
      <c r="P16">
        <v>3.2100000000000002E-3</v>
      </c>
      <c r="Q16">
        <v>0.15414</v>
      </c>
      <c r="R16">
        <v>50</v>
      </c>
    </row>
    <row r="17" spans="1:21">
      <c r="A17">
        <v>295.14999999999998</v>
      </c>
      <c r="B17">
        <v>101580</v>
      </c>
      <c r="C17">
        <v>1.1989700000000001</v>
      </c>
      <c r="D17">
        <v>625.63994000000002</v>
      </c>
      <c r="E17">
        <v>0.30824000000000001</v>
      </c>
      <c r="F17">
        <v>2.3466300000000002</v>
      </c>
      <c r="G17">
        <v>1901.37031</v>
      </c>
      <c r="H17">
        <v>0.41274</v>
      </c>
      <c r="I17" s="2">
        <f t="shared" si="2"/>
        <v>0.308017852661221</v>
      </c>
      <c r="J17" s="2">
        <f t="shared" si="3"/>
        <v>624.73847253952545</v>
      </c>
      <c r="K17">
        <v>0.60970000000000002</v>
      </c>
      <c r="L17">
        <v>0</v>
      </c>
      <c r="M17">
        <v>70.45</v>
      </c>
      <c r="N17">
        <v>85.754739999999998</v>
      </c>
      <c r="O17">
        <v>6.5900000000000004E-3</v>
      </c>
      <c r="P17">
        <v>5.0099999999999997E-3</v>
      </c>
      <c r="Q17">
        <v>0.12861</v>
      </c>
      <c r="R17">
        <v>40</v>
      </c>
    </row>
    <row r="18" spans="1:21">
      <c r="A18">
        <v>295.35000000000002</v>
      </c>
      <c r="B18">
        <v>101580</v>
      </c>
      <c r="C18">
        <v>1.1981599999999999</v>
      </c>
      <c r="D18">
        <v>585.00576000000001</v>
      </c>
      <c r="E18">
        <v>0.40350000000000003</v>
      </c>
      <c r="F18">
        <v>2.6220300000000001</v>
      </c>
      <c r="G18">
        <v>1891.3638699999999</v>
      </c>
      <c r="H18">
        <v>0.45452999999999999</v>
      </c>
      <c r="I18" s="2">
        <f t="shared" si="2"/>
        <v>0.40534241568228757</v>
      </c>
      <c r="J18" s="2">
        <f t="shared" si="3"/>
        <v>590.36033003458942</v>
      </c>
      <c r="K18">
        <v>0.60819999999999996</v>
      </c>
      <c r="L18">
        <v>0</v>
      </c>
      <c r="M18">
        <v>70.45</v>
      </c>
      <c r="N18">
        <v>147.57728</v>
      </c>
      <c r="O18">
        <v>4.6800000000000001E-3</v>
      </c>
      <c r="P18">
        <v>9.9100000000000004E-3</v>
      </c>
      <c r="Q18">
        <v>0.11403000000000001</v>
      </c>
      <c r="R18">
        <v>30</v>
      </c>
    </row>
    <row r="19" spans="1:21">
      <c r="A19">
        <v>295.35000000000002</v>
      </c>
      <c r="B19">
        <v>101580</v>
      </c>
      <c r="C19">
        <v>1.1981599999999999</v>
      </c>
      <c r="D19">
        <v>537.79480999999998</v>
      </c>
      <c r="E19">
        <v>0.49358999999999997</v>
      </c>
      <c r="F19">
        <v>2.7756799999999999</v>
      </c>
      <c r="G19">
        <v>1885.5463299999999</v>
      </c>
      <c r="H19">
        <v>0.48432999999999998</v>
      </c>
      <c r="I19" s="2">
        <f t="shared" si="2"/>
        <v>0.49737361796885676</v>
      </c>
      <c r="J19" s="2">
        <f t="shared" si="3"/>
        <v>546.0713513926222</v>
      </c>
      <c r="K19">
        <v>0.60719999999999996</v>
      </c>
      <c r="L19">
        <v>0</v>
      </c>
      <c r="M19">
        <v>70.45</v>
      </c>
      <c r="N19">
        <v>221.55502000000001</v>
      </c>
      <c r="O19">
        <v>4.0699999999999998E-3</v>
      </c>
      <c r="P19">
        <v>1.406E-2</v>
      </c>
      <c r="Q19">
        <v>0.10868999999999999</v>
      </c>
      <c r="R19">
        <v>20</v>
      </c>
    </row>
    <row r="20" spans="1:21">
      <c r="A20">
        <v>295.35000000000002</v>
      </c>
      <c r="B20">
        <v>101580</v>
      </c>
      <c r="C20">
        <v>1.1981599999999999</v>
      </c>
      <c r="D20">
        <v>492.27981</v>
      </c>
      <c r="E20">
        <v>0.55181999999999998</v>
      </c>
      <c r="F20">
        <v>2.82585</v>
      </c>
      <c r="G20">
        <v>1883.5865899999999</v>
      </c>
      <c r="H20">
        <v>0.48736000000000002</v>
      </c>
      <c r="I20" s="2">
        <f t="shared" si="2"/>
        <v>0.55662851156739224</v>
      </c>
      <c r="J20" s="2">
        <f t="shared" si="3"/>
        <v>500.89655697254636</v>
      </c>
      <c r="K20">
        <v>0.60670000000000002</v>
      </c>
      <c r="L20">
        <v>0</v>
      </c>
      <c r="M20">
        <v>70.45</v>
      </c>
      <c r="N20">
        <v>277.37421000000001</v>
      </c>
      <c r="O20">
        <v>7.28E-3</v>
      </c>
      <c r="P20">
        <v>1.008E-2</v>
      </c>
      <c r="Q20">
        <v>0.10915</v>
      </c>
      <c r="R20">
        <v>10</v>
      </c>
    </row>
    <row r="21" spans="1:21">
      <c r="A21">
        <v>295.35000000000002</v>
      </c>
      <c r="B21">
        <v>101580</v>
      </c>
      <c r="C21">
        <v>1.1981599999999999</v>
      </c>
      <c r="D21">
        <v>466.21300000000002</v>
      </c>
      <c r="E21">
        <v>0.58157999999999999</v>
      </c>
      <c r="F21">
        <v>2.8422000000000001</v>
      </c>
      <c r="G21">
        <v>1882.45281</v>
      </c>
      <c r="H21">
        <v>0.48393000000000003</v>
      </c>
      <c r="I21" s="2">
        <f t="shared" si="2"/>
        <v>0.58700116896954246</v>
      </c>
      <c r="J21" s="2">
        <f t="shared" si="3"/>
        <v>474.94507144667438</v>
      </c>
      <c r="K21">
        <v>0.60640000000000005</v>
      </c>
      <c r="L21">
        <v>0</v>
      </c>
      <c r="M21">
        <v>70.45</v>
      </c>
      <c r="N21">
        <v>308.40248000000003</v>
      </c>
      <c r="O21">
        <v>4.81E-3</v>
      </c>
      <c r="P21">
        <v>1.1469999999999999E-2</v>
      </c>
      <c r="Q21">
        <v>0.11038000000000001</v>
      </c>
      <c r="R21">
        <v>0</v>
      </c>
    </row>
    <row r="22" spans="1:21">
      <c r="A22">
        <v>295.35000000000002</v>
      </c>
      <c r="B22">
        <v>101580</v>
      </c>
      <c r="C22">
        <v>1.1981599999999999</v>
      </c>
      <c r="D22">
        <v>424.44571999999999</v>
      </c>
      <c r="E22">
        <v>0.62660000000000005</v>
      </c>
      <c r="F22">
        <v>2.8494600000000001</v>
      </c>
      <c r="G22">
        <v>1882.26081</v>
      </c>
      <c r="H22">
        <v>0.47353000000000001</v>
      </c>
      <c r="I22" s="2">
        <f t="shared" si="2"/>
        <v>0.63250533277585486</v>
      </c>
      <c r="J22" s="2">
        <f t="shared" si="3"/>
        <v>432.48371657427214</v>
      </c>
      <c r="K22">
        <v>0.60609999999999997</v>
      </c>
      <c r="L22">
        <v>0</v>
      </c>
      <c r="M22">
        <v>70.45</v>
      </c>
      <c r="N22">
        <v>358.35534000000001</v>
      </c>
      <c r="O22">
        <v>4.7400000000000003E-3</v>
      </c>
      <c r="P22">
        <v>9.1400000000000006E-3</v>
      </c>
      <c r="Q22">
        <v>0.11211</v>
      </c>
      <c r="R22" t="s">
        <v>94</v>
      </c>
    </row>
    <row r="23" spans="1:21">
      <c r="A23">
        <v>295.35000000000002</v>
      </c>
      <c r="B23">
        <v>101580</v>
      </c>
      <c r="C23">
        <v>1.1981599999999999</v>
      </c>
      <c r="D23">
        <v>466.12232</v>
      </c>
      <c r="E23">
        <v>0.58106999999999998</v>
      </c>
      <c r="F23">
        <v>2.84429</v>
      </c>
      <c r="G23">
        <v>1882.2751800000001</v>
      </c>
      <c r="H23">
        <v>0.48309999999999997</v>
      </c>
      <c r="I23" s="2">
        <f t="shared" si="2"/>
        <v>0.58654176165676253</v>
      </c>
      <c r="J23" s="2">
        <f t="shared" si="3"/>
        <v>474.94232079973233</v>
      </c>
      <c r="K23">
        <v>0.60640000000000005</v>
      </c>
      <c r="L23">
        <v>0</v>
      </c>
      <c r="M23">
        <v>70.45</v>
      </c>
      <c r="N23">
        <v>307.85897999999997</v>
      </c>
      <c r="O23">
        <v>6.0000000000000001E-3</v>
      </c>
      <c r="P23">
        <v>9.7800000000000005E-3</v>
      </c>
      <c r="Q23">
        <v>0.11232</v>
      </c>
      <c r="R23">
        <v>0</v>
      </c>
      <c r="S23" t="s">
        <v>95</v>
      </c>
      <c r="T23" t="s">
        <v>97</v>
      </c>
      <c r="U23" s="1">
        <f>100*(H21-H23)/H21</f>
        <v>0.17151240881946828</v>
      </c>
    </row>
    <row r="24" spans="1:21">
      <c r="R24" t="s">
        <v>96</v>
      </c>
    </row>
    <row r="25" spans="1:21">
      <c r="A25">
        <v>295.25</v>
      </c>
      <c r="B25">
        <v>101580</v>
      </c>
      <c r="C25">
        <v>1.1985600000000001</v>
      </c>
      <c r="D25">
        <v>663.31065999999998</v>
      </c>
      <c r="E25">
        <v>3.3480000000000003E-2</v>
      </c>
      <c r="F25">
        <v>0.98984000000000005</v>
      </c>
      <c r="G25">
        <v>1785.20416</v>
      </c>
      <c r="H25">
        <v>0.12001000000000001</v>
      </c>
      <c r="I25" s="2">
        <f>E25*1760/G25</f>
        <v>3.3007317213511314E-2</v>
      </c>
      <c r="J25" s="2">
        <f>D25*(1760/G25)^2</f>
        <v>644.71315540695946</v>
      </c>
      <c r="K25">
        <v>0.64239999999999997</v>
      </c>
      <c r="L25">
        <v>0</v>
      </c>
      <c r="M25">
        <v>64.705799999999996</v>
      </c>
      <c r="N25">
        <v>0.91108</v>
      </c>
      <c r="O25">
        <v>5.9699999999999996E-3</v>
      </c>
      <c r="P25">
        <v>2.7000000000000001E-3</v>
      </c>
      <c r="Q25">
        <v>0.17296</v>
      </c>
      <c r="R25">
        <v>90</v>
      </c>
    </row>
    <row r="26" spans="1:21">
      <c r="A26">
        <v>295.25</v>
      </c>
      <c r="B26">
        <v>101580</v>
      </c>
      <c r="C26">
        <v>1.1985600000000001</v>
      </c>
      <c r="D26">
        <v>609.29474000000005</v>
      </c>
      <c r="E26">
        <v>0.11113000000000001</v>
      </c>
      <c r="F26">
        <v>1.39747</v>
      </c>
      <c r="G26">
        <v>1776.0628999999999</v>
      </c>
      <c r="H26">
        <v>0.26051999999999997</v>
      </c>
      <c r="I26" s="2">
        <f t="shared" ref="I26:I34" si="4">E26*1760/G26</f>
        <v>0.11012492857094196</v>
      </c>
      <c r="J26" s="2">
        <f t="shared" ref="J26:J34" si="5">D26*(1760/G26)^2</f>
        <v>598.32352612407226</v>
      </c>
      <c r="K26">
        <v>0.61860000000000004</v>
      </c>
      <c r="L26">
        <v>0</v>
      </c>
      <c r="M26">
        <v>64.705799999999996</v>
      </c>
      <c r="N26">
        <v>10.8249</v>
      </c>
      <c r="O26">
        <v>6.2300000000000003E-3</v>
      </c>
      <c r="P26">
        <v>2.6900000000000001E-3</v>
      </c>
      <c r="Q26">
        <v>0.13547999999999999</v>
      </c>
      <c r="R26">
        <v>60</v>
      </c>
    </row>
    <row r="27" spans="1:21">
      <c r="A27">
        <v>295.25</v>
      </c>
      <c r="B27">
        <v>101580</v>
      </c>
      <c r="C27">
        <v>1.1985600000000001</v>
      </c>
      <c r="D27">
        <v>576.53755999999998</v>
      </c>
      <c r="E27">
        <v>0.18432999999999999</v>
      </c>
      <c r="F27">
        <v>1.68573</v>
      </c>
      <c r="G27">
        <v>1769.2777100000001</v>
      </c>
      <c r="H27">
        <v>0.34026000000000001</v>
      </c>
      <c r="I27" s="2">
        <f t="shared" si="4"/>
        <v>0.18336341331062153</v>
      </c>
      <c r="J27" s="2">
        <f t="shared" si="5"/>
        <v>570.50693643973216</v>
      </c>
      <c r="K27">
        <v>0.61350000000000005</v>
      </c>
      <c r="L27">
        <v>0</v>
      </c>
      <c r="M27">
        <v>64.705799999999996</v>
      </c>
      <c r="N27">
        <v>30.278860000000002</v>
      </c>
      <c r="O27">
        <v>7.4000000000000003E-3</v>
      </c>
      <c r="P27">
        <v>2.8999999999999998E-3</v>
      </c>
      <c r="Q27">
        <v>0.12745000000000001</v>
      </c>
      <c r="R27">
        <v>50</v>
      </c>
    </row>
    <row r="28" spans="1:21">
      <c r="A28">
        <v>295.25</v>
      </c>
      <c r="B28">
        <v>101580</v>
      </c>
      <c r="C28">
        <v>1.1985600000000001</v>
      </c>
      <c r="D28">
        <v>539.75549000000001</v>
      </c>
      <c r="E28">
        <v>0.28014</v>
      </c>
      <c r="F28">
        <v>2.0154100000000001</v>
      </c>
      <c r="G28">
        <v>1761.16228</v>
      </c>
      <c r="H28">
        <v>0.40679999999999999</v>
      </c>
      <c r="I28" s="2">
        <f t="shared" si="4"/>
        <v>0.27995512145536072</v>
      </c>
      <c r="J28" s="2">
        <f t="shared" si="5"/>
        <v>539.04330122666624</v>
      </c>
      <c r="K28">
        <v>0.61050000000000004</v>
      </c>
      <c r="L28">
        <v>0</v>
      </c>
      <c r="M28">
        <v>64.705799999999996</v>
      </c>
      <c r="N28">
        <v>70.622389999999996</v>
      </c>
      <c r="O28">
        <v>4.5700000000000003E-3</v>
      </c>
      <c r="P28">
        <v>4.13E-3</v>
      </c>
      <c r="Q28">
        <v>0.11865000000000001</v>
      </c>
      <c r="R28">
        <v>40</v>
      </c>
    </row>
    <row r="29" spans="1:21">
      <c r="A29">
        <v>295.25</v>
      </c>
      <c r="B29">
        <v>101580</v>
      </c>
      <c r="C29">
        <v>1.1985600000000001</v>
      </c>
      <c r="D29">
        <v>501.35991999999999</v>
      </c>
      <c r="E29">
        <v>0.38130999999999998</v>
      </c>
      <c r="F29">
        <v>2.2851599999999999</v>
      </c>
      <c r="G29">
        <v>1754.0304599999999</v>
      </c>
      <c r="H29">
        <v>0.45545999999999998</v>
      </c>
      <c r="I29" s="2">
        <f t="shared" si="4"/>
        <v>0.38260772278720862</v>
      </c>
      <c r="J29" s="2">
        <f t="shared" si="5"/>
        <v>504.7783110191998</v>
      </c>
      <c r="K29">
        <v>0.60860000000000003</v>
      </c>
      <c r="L29">
        <v>0</v>
      </c>
      <c r="M29">
        <v>64.705799999999996</v>
      </c>
      <c r="N29">
        <v>131.52951999999999</v>
      </c>
      <c r="O29">
        <v>5.7099999999999998E-3</v>
      </c>
      <c r="P29">
        <v>5.9699999999999996E-3</v>
      </c>
      <c r="Q29">
        <v>9.8909999999999998E-2</v>
      </c>
      <c r="R29">
        <v>30</v>
      </c>
    </row>
    <row r="30" spans="1:21">
      <c r="A30">
        <v>295.25</v>
      </c>
      <c r="B30">
        <v>101580</v>
      </c>
      <c r="C30">
        <v>1.1985600000000001</v>
      </c>
      <c r="D30">
        <v>463.51335</v>
      </c>
      <c r="E30">
        <v>0.46067999999999998</v>
      </c>
      <c r="F30">
        <v>2.4122599999999998</v>
      </c>
      <c r="G30">
        <v>1750.64183</v>
      </c>
      <c r="H30">
        <v>0.48285</v>
      </c>
      <c r="I30" s="2">
        <f t="shared" si="4"/>
        <v>0.46314259496472787</v>
      </c>
      <c r="J30" s="2">
        <f t="shared" si="5"/>
        <v>468.48207656868112</v>
      </c>
      <c r="K30">
        <v>0.60750000000000004</v>
      </c>
      <c r="L30">
        <v>0</v>
      </c>
      <c r="M30">
        <v>64.705799999999996</v>
      </c>
      <c r="N30">
        <v>192.68077</v>
      </c>
      <c r="O30">
        <v>5.5199999999999997E-3</v>
      </c>
      <c r="P30">
        <v>9.9799999999999993E-3</v>
      </c>
      <c r="Q30">
        <v>9.8589999999999997E-2</v>
      </c>
      <c r="R30">
        <v>20</v>
      </c>
    </row>
    <row r="31" spans="1:21">
      <c r="A31">
        <v>295.25</v>
      </c>
      <c r="B31">
        <v>101580</v>
      </c>
      <c r="C31">
        <v>1.1985600000000001</v>
      </c>
      <c r="D31">
        <v>422.11309</v>
      </c>
      <c r="E31">
        <v>0.51624000000000003</v>
      </c>
      <c r="F31">
        <v>2.4610300000000001</v>
      </c>
      <c r="G31">
        <v>1749.1941400000001</v>
      </c>
      <c r="H31">
        <v>0.48338999999999999</v>
      </c>
      <c r="I31" s="2">
        <f t="shared" si="4"/>
        <v>0.51942913552180092</v>
      </c>
      <c r="J31" s="2">
        <f t="shared" si="5"/>
        <v>427.34450923225847</v>
      </c>
      <c r="K31">
        <v>0.60699999999999998</v>
      </c>
      <c r="L31">
        <v>0</v>
      </c>
      <c r="M31">
        <v>64.705799999999996</v>
      </c>
      <c r="N31">
        <v>242.35231999999999</v>
      </c>
      <c r="O31">
        <v>5.7099999999999998E-3</v>
      </c>
      <c r="P31">
        <v>1.076E-2</v>
      </c>
      <c r="Q31">
        <v>0.1003</v>
      </c>
      <c r="R31">
        <v>10</v>
      </c>
    </row>
    <row r="32" spans="1:21">
      <c r="A32">
        <v>295.25</v>
      </c>
      <c r="B32">
        <v>101580</v>
      </c>
      <c r="C32">
        <v>1.1985600000000001</v>
      </c>
      <c r="D32">
        <v>402.46469999999999</v>
      </c>
      <c r="E32">
        <v>0.54222999999999999</v>
      </c>
      <c r="F32">
        <v>2.4767899999999998</v>
      </c>
      <c r="G32">
        <v>1748.8108299999999</v>
      </c>
      <c r="H32">
        <v>0.48110999999999998</v>
      </c>
      <c r="I32" s="2">
        <f t="shared" si="4"/>
        <v>0.54569927383169281</v>
      </c>
      <c r="J32" s="2">
        <f t="shared" si="5"/>
        <v>407.63124187167017</v>
      </c>
      <c r="K32">
        <v>0.60680000000000001</v>
      </c>
      <c r="L32">
        <v>0</v>
      </c>
      <c r="M32">
        <v>64.705799999999996</v>
      </c>
      <c r="N32">
        <v>267.54822999999999</v>
      </c>
      <c r="O32">
        <v>4.5300000000000002E-3</v>
      </c>
      <c r="P32">
        <v>1.217E-2</v>
      </c>
      <c r="Q32">
        <v>0.1016</v>
      </c>
      <c r="R32">
        <v>0</v>
      </c>
    </row>
    <row r="33" spans="1:21">
      <c r="A33">
        <v>295.25</v>
      </c>
      <c r="B33">
        <v>101580</v>
      </c>
      <c r="C33">
        <v>1.1985600000000001</v>
      </c>
      <c r="D33">
        <v>367.03742999999997</v>
      </c>
      <c r="E33">
        <v>0.58331</v>
      </c>
      <c r="F33">
        <v>2.4805100000000002</v>
      </c>
      <c r="G33">
        <v>1748.68966</v>
      </c>
      <c r="H33">
        <v>0.47133000000000003</v>
      </c>
      <c r="I33" s="2">
        <f t="shared" si="4"/>
        <v>0.58708278746269937</v>
      </c>
      <c r="J33" s="2">
        <f t="shared" si="5"/>
        <v>371.80070316944949</v>
      </c>
      <c r="K33">
        <v>0.60640000000000005</v>
      </c>
      <c r="L33">
        <v>0</v>
      </c>
      <c r="M33">
        <v>64.705799999999996</v>
      </c>
      <c r="N33">
        <v>310.03384</v>
      </c>
      <c r="O33">
        <v>5.7499999999999999E-3</v>
      </c>
      <c r="P33">
        <v>9.4900000000000002E-3</v>
      </c>
      <c r="Q33">
        <v>0.10070999999999999</v>
      </c>
      <c r="R33" t="s">
        <v>94</v>
      </c>
    </row>
    <row r="34" spans="1:21">
      <c r="A34">
        <v>295.25</v>
      </c>
      <c r="B34">
        <v>101580</v>
      </c>
      <c r="C34">
        <v>1.1985600000000001</v>
      </c>
      <c r="D34">
        <v>402.17617999999999</v>
      </c>
      <c r="E34">
        <v>0.54207000000000005</v>
      </c>
      <c r="F34">
        <v>2.4754299999999998</v>
      </c>
      <c r="G34">
        <v>1748.7662399999999</v>
      </c>
      <c r="H34">
        <v>0.48089999999999999</v>
      </c>
      <c r="I34" s="2">
        <f t="shared" si="4"/>
        <v>0.54555216024755837</v>
      </c>
      <c r="J34" s="2">
        <f t="shared" si="5"/>
        <v>407.35979097295871</v>
      </c>
      <c r="K34">
        <v>0.60680000000000001</v>
      </c>
      <c r="L34">
        <v>0</v>
      </c>
      <c r="M34">
        <v>64.705799999999996</v>
      </c>
      <c r="N34">
        <v>267.38852000000003</v>
      </c>
      <c r="O34">
        <v>5.0800000000000003E-3</v>
      </c>
      <c r="P34">
        <v>9.2399999999999999E-3</v>
      </c>
      <c r="Q34">
        <v>9.8970000000000002E-2</v>
      </c>
      <c r="R34">
        <v>0</v>
      </c>
      <c r="S34" t="s">
        <v>95</v>
      </c>
      <c r="T34" t="s">
        <v>97</v>
      </c>
      <c r="U34" s="1">
        <f>100*(H32-H34)/H32</f>
        <v>4.3649061545174284E-2</v>
      </c>
    </row>
    <row r="35" spans="1:21">
      <c r="R35" t="s">
        <v>96</v>
      </c>
    </row>
    <row r="36" spans="1:21">
      <c r="A36">
        <v>295.25</v>
      </c>
      <c r="B36">
        <v>101580</v>
      </c>
      <c r="C36">
        <v>1.1985600000000001</v>
      </c>
      <c r="D36">
        <v>545.26883999999995</v>
      </c>
      <c r="E36">
        <v>3.3369999999999997E-2</v>
      </c>
      <c r="F36">
        <v>0.83962999999999999</v>
      </c>
      <c r="G36">
        <v>1617.64888</v>
      </c>
      <c r="H36">
        <v>0.12794</v>
      </c>
      <c r="I36" s="2">
        <f>E36*1600/G36</f>
        <v>3.3005926477691495E-2</v>
      </c>
      <c r="J36" s="2">
        <f>D36*(1600/G36)^2</f>
        <v>533.43575570338362</v>
      </c>
      <c r="K36">
        <v>0.64239999999999997</v>
      </c>
      <c r="L36">
        <v>0</v>
      </c>
      <c r="M36">
        <v>58.482399999999998</v>
      </c>
      <c r="N36">
        <v>0.90436000000000005</v>
      </c>
      <c r="O36">
        <v>7.7400000000000004E-3</v>
      </c>
      <c r="P36">
        <v>2.63E-3</v>
      </c>
      <c r="Q36">
        <v>9.9879999999999997E-2</v>
      </c>
      <c r="R36">
        <v>90</v>
      </c>
    </row>
    <row r="37" spans="1:21">
      <c r="A37">
        <v>295.25</v>
      </c>
      <c r="B37">
        <v>101580</v>
      </c>
      <c r="C37">
        <v>1.1985600000000001</v>
      </c>
      <c r="D37">
        <v>500.56036</v>
      </c>
      <c r="E37">
        <v>0.10571</v>
      </c>
      <c r="F37">
        <v>1.19398</v>
      </c>
      <c r="G37">
        <v>1611.5110199999999</v>
      </c>
      <c r="H37">
        <v>0.26261000000000001</v>
      </c>
      <c r="I37" s="2">
        <f t="shared" ref="I37:I45" si="6">E37*1600/G37</f>
        <v>0.1049549136809502</v>
      </c>
      <c r="J37" s="2">
        <f t="shared" ref="J37:J45" si="7">D37*(1600/G37)^2</f>
        <v>493.43489649600144</v>
      </c>
      <c r="K37">
        <v>0.61899999999999999</v>
      </c>
      <c r="L37">
        <v>0</v>
      </c>
      <c r="M37">
        <v>58.482399999999998</v>
      </c>
      <c r="N37">
        <v>9.77224</v>
      </c>
      <c r="O37">
        <v>5.9100000000000003E-3</v>
      </c>
      <c r="P37">
        <v>2.7100000000000002E-3</v>
      </c>
      <c r="Q37">
        <v>9.4500000000000001E-2</v>
      </c>
      <c r="R37">
        <v>60</v>
      </c>
    </row>
    <row r="38" spans="1:21">
      <c r="A38">
        <v>295.25</v>
      </c>
      <c r="B38">
        <v>101580</v>
      </c>
      <c r="C38">
        <v>1.1985600000000001</v>
      </c>
      <c r="D38">
        <v>473.50076000000001</v>
      </c>
      <c r="E38">
        <v>0.17555000000000001</v>
      </c>
      <c r="F38">
        <v>1.4441299999999999</v>
      </c>
      <c r="G38">
        <v>1607.11167</v>
      </c>
      <c r="H38">
        <v>0.34201999999999999</v>
      </c>
      <c r="I38" s="2">
        <f t="shared" si="6"/>
        <v>0.17477316930938594</v>
      </c>
      <c r="J38" s="2">
        <f t="shared" si="7"/>
        <v>469.31943188028833</v>
      </c>
      <c r="K38">
        <v>0.61380000000000001</v>
      </c>
      <c r="L38">
        <v>0</v>
      </c>
      <c r="M38">
        <v>58.482399999999998</v>
      </c>
      <c r="N38">
        <v>27.409310000000001</v>
      </c>
      <c r="O38">
        <v>5.6499999999999996E-3</v>
      </c>
      <c r="P38">
        <v>3.0500000000000002E-3</v>
      </c>
      <c r="Q38">
        <v>0.10037</v>
      </c>
      <c r="R38">
        <v>50</v>
      </c>
    </row>
    <row r="39" spans="1:21">
      <c r="A39">
        <v>295.25</v>
      </c>
      <c r="B39">
        <v>101580</v>
      </c>
      <c r="C39">
        <v>1.1985600000000001</v>
      </c>
      <c r="D39">
        <v>444.91075999999998</v>
      </c>
      <c r="E39">
        <v>0.26214999999999999</v>
      </c>
      <c r="F39">
        <v>1.7135199999999999</v>
      </c>
      <c r="G39">
        <v>1602.0530900000001</v>
      </c>
      <c r="H39">
        <v>0.40572000000000003</v>
      </c>
      <c r="I39" s="2">
        <f t="shared" si="6"/>
        <v>0.26181404512630724</v>
      </c>
      <c r="J39" s="2">
        <f t="shared" si="7"/>
        <v>443.77115166456792</v>
      </c>
      <c r="K39">
        <v>0.6109</v>
      </c>
      <c r="L39">
        <v>0</v>
      </c>
      <c r="M39">
        <v>58.482399999999998</v>
      </c>
      <c r="N39">
        <v>61.699930000000002</v>
      </c>
      <c r="O39">
        <v>4.0899999999999999E-3</v>
      </c>
      <c r="P39">
        <v>3.7000000000000002E-3</v>
      </c>
      <c r="Q39">
        <v>0.11211</v>
      </c>
      <c r="R39">
        <v>40</v>
      </c>
    </row>
    <row r="40" spans="1:21">
      <c r="A40">
        <v>295.25</v>
      </c>
      <c r="B40">
        <v>101580</v>
      </c>
      <c r="C40">
        <v>1.1985600000000001</v>
      </c>
      <c r="D40">
        <v>415.32778000000002</v>
      </c>
      <c r="E40">
        <v>0.35204000000000002</v>
      </c>
      <c r="F40">
        <v>1.93014</v>
      </c>
      <c r="G40">
        <v>1597.8872699999999</v>
      </c>
      <c r="H40">
        <v>0.45271</v>
      </c>
      <c r="I40" s="2">
        <f t="shared" si="6"/>
        <v>0.35250546804844374</v>
      </c>
      <c r="J40" s="2">
        <f t="shared" si="7"/>
        <v>416.42680065946632</v>
      </c>
      <c r="K40">
        <v>0.60899999999999999</v>
      </c>
      <c r="L40">
        <v>0</v>
      </c>
      <c r="M40">
        <v>58.482399999999998</v>
      </c>
      <c r="N40">
        <v>111.96419</v>
      </c>
      <c r="O40">
        <v>5.45E-3</v>
      </c>
      <c r="P40">
        <v>6.3299999999999997E-3</v>
      </c>
      <c r="Q40">
        <v>0.12814999999999999</v>
      </c>
      <c r="R40">
        <v>30</v>
      </c>
    </row>
    <row r="41" spans="1:21">
      <c r="A41">
        <v>295.25</v>
      </c>
      <c r="B41">
        <v>101580</v>
      </c>
      <c r="C41">
        <v>1.1985600000000001</v>
      </c>
      <c r="D41">
        <v>378.59800999999999</v>
      </c>
      <c r="E41">
        <v>0.43346000000000001</v>
      </c>
      <c r="F41">
        <v>2.0419900000000002</v>
      </c>
      <c r="G41">
        <v>1595.64564</v>
      </c>
      <c r="H41">
        <v>0.48096</v>
      </c>
      <c r="I41" s="2">
        <f t="shared" si="6"/>
        <v>0.43464286970382726</v>
      </c>
      <c r="J41" s="2">
        <f t="shared" si="7"/>
        <v>380.66714284204119</v>
      </c>
      <c r="K41">
        <v>0.6079</v>
      </c>
      <c r="L41">
        <v>0</v>
      </c>
      <c r="M41">
        <v>58.482399999999998</v>
      </c>
      <c r="N41">
        <v>170.35807</v>
      </c>
      <c r="O41">
        <v>4.96E-3</v>
      </c>
      <c r="P41">
        <v>8.6199999999999992E-3</v>
      </c>
      <c r="Q41">
        <v>0.13758000000000001</v>
      </c>
      <c r="R41">
        <v>20</v>
      </c>
    </row>
    <row r="42" spans="1:21">
      <c r="A42">
        <v>295.25</v>
      </c>
      <c r="B42">
        <v>101580</v>
      </c>
      <c r="C42">
        <v>1.1985600000000001</v>
      </c>
      <c r="D42">
        <v>351.29849000000002</v>
      </c>
      <c r="E42">
        <v>0.47275</v>
      </c>
      <c r="F42">
        <v>2.0730499999999998</v>
      </c>
      <c r="G42">
        <v>1595.0767699999999</v>
      </c>
      <c r="H42">
        <v>0.47960999999999998</v>
      </c>
      <c r="I42" s="2">
        <f t="shared" si="6"/>
        <v>0.47420915044734807</v>
      </c>
      <c r="J42" s="2">
        <f t="shared" si="7"/>
        <v>353.47041350629343</v>
      </c>
      <c r="K42">
        <v>0.60740000000000005</v>
      </c>
      <c r="L42">
        <v>0</v>
      </c>
      <c r="M42">
        <v>58.482399999999998</v>
      </c>
      <c r="N42">
        <v>202.97808000000001</v>
      </c>
      <c r="O42">
        <v>5.6600000000000001E-3</v>
      </c>
      <c r="P42">
        <v>9.7699999999999992E-3</v>
      </c>
      <c r="Q42">
        <v>0.13184999999999999</v>
      </c>
      <c r="R42">
        <v>10</v>
      </c>
    </row>
    <row r="43" spans="1:21">
      <c r="A43">
        <v>295.25</v>
      </c>
      <c r="B43">
        <v>101580</v>
      </c>
      <c r="C43">
        <v>1.1985600000000001</v>
      </c>
      <c r="D43">
        <v>335.51380999999998</v>
      </c>
      <c r="E43">
        <v>0.49504999999999999</v>
      </c>
      <c r="F43">
        <v>2.0864199999999999</v>
      </c>
      <c r="G43">
        <v>1594.7060300000001</v>
      </c>
      <c r="H43">
        <v>0.47670000000000001</v>
      </c>
      <c r="I43" s="2">
        <f t="shared" si="6"/>
        <v>0.49669342505715608</v>
      </c>
      <c r="J43" s="2">
        <f t="shared" si="7"/>
        <v>337.74512818715709</v>
      </c>
      <c r="K43">
        <v>0.60719999999999996</v>
      </c>
      <c r="L43">
        <v>0</v>
      </c>
      <c r="M43">
        <v>58.482399999999998</v>
      </c>
      <c r="N43">
        <v>222.72309000000001</v>
      </c>
      <c r="O43">
        <v>5.0899999999999999E-3</v>
      </c>
      <c r="P43">
        <v>1.056E-2</v>
      </c>
      <c r="Q43">
        <v>0.13009000000000001</v>
      </c>
      <c r="R43">
        <v>0</v>
      </c>
    </row>
    <row r="44" spans="1:21">
      <c r="A44">
        <v>295.25</v>
      </c>
      <c r="B44">
        <v>101580</v>
      </c>
      <c r="C44">
        <v>1.1985600000000001</v>
      </c>
      <c r="D44">
        <v>306.00232</v>
      </c>
      <c r="E44">
        <v>0.53293000000000001</v>
      </c>
      <c r="F44">
        <v>2.0908199999999999</v>
      </c>
      <c r="G44">
        <v>1594.6401800000001</v>
      </c>
      <c r="H44">
        <v>0.46708</v>
      </c>
      <c r="I44" s="2">
        <f t="shared" si="6"/>
        <v>0.53472125605163157</v>
      </c>
      <c r="J44" s="2">
        <f t="shared" si="7"/>
        <v>308.06281454055068</v>
      </c>
      <c r="K44">
        <v>0.60680000000000001</v>
      </c>
      <c r="L44">
        <v>0</v>
      </c>
      <c r="M44">
        <v>58.482399999999998</v>
      </c>
      <c r="N44">
        <v>258.45048000000003</v>
      </c>
      <c r="O44">
        <v>6.2399999999999999E-3</v>
      </c>
      <c r="P44">
        <v>1.0869999999999999E-2</v>
      </c>
      <c r="Q44">
        <v>0.13195999999999999</v>
      </c>
      <c r="R44" t="s">
        <v>94</v>
      </c>
    </row>
    <row r="45" spans="1:21">
      <c r="A45">
        <v>295.25</v>
      </c>
      <c r="B45">
        <v>101580</v>
      </c>
      <c r="C45">
        <v>1.1985600000000001</v>
      </c>
      <c r="D45">
        <v>335.47971000000001</v>
      </c>
      <c r="E45">
        <v>0.49497000000000002</v>
      </c>
      <c r="F45">
        <v>2.0868199999999999</v>
      </c>
      <c r="G45">
        <v>1594.75073</v>
      </c>
      <c r="H45">
        <v>0.47647</v>
      </c>
      <c r="I45" s="2">
        <f t="shared" si="6"/>
        <v>0.49659923968180281</v>
      </c>
      <c r="J45" s="2">
        <f t="shared" si="7"/>
        <v>337.69186997005909</v>
      </c>
      <c r="K45">
        <v>0.60719999999999996</v>
      </c>
      <c r="L45">
        <v>0</v>
      </c>
      <c r="M45">
        <v>58.482399999999998</v>
      </c>
      <c r="N45">
        <v>222.65071</v>
      </c>
      <c r="O45">
        <v>5.4400000000000004E-3</v>
      </c>
      <c r="P45">
        <v>1.072E-2</v>
      </c>
      <c r="Q45">
        <v>0.13669000000000001</v>
      </c>
      <c r="R45">
        <v>0</v>
      </c>
      <c r="S45" t="s">
        <v>95</v>
      </c>
      <c r="T45" t="s">
        <v>97</v>
      </c>
      <c r="U45" s="1">
        <f>100*(H43-H45)/H43</f>
        <v>4.8248374239565336E-2</v>
      </c>
    </row>
    <row r="46" spans="1:21">
      <c r="R46" t="s">
        <v>96</v>
      </c>
    </row>
    <row r="47" spans="1:21">
      <c r="A47">
        <v>295.25</v>
      </c>
      <c r="B47">
        <v>101580</v>
      </c>
      <c r="C47">
        <v>1.1985600000000001</v>
      </c>
      <c r="D47">
        <v>461.99957999999998</v>
      </c>
      <c r="E47">
        <v>3.322E-2</v>
      </c>
      <c r="F47">
        <v>0.72826000000000002</v>
      </c>
      <c r="G47">
        <v>1489.9806100000001</v>
      </c>
      <c r="H47">
        <v>0.13505</v>
      </c>
      <c r="I47" s="2">
        <f>E47*1480/G47</f>
        <v>3.2997476389977985E-2</v>
      </c>
      <c r="J47" s="2">
        <f>D47*(1480/G47)^2</f>
        <v>455.83091697393405</v>
      </c>
      <c r="K47">
        <v>0.64039999999999997</v>
      </c>
      <c r="L47">
        <v>0</v>
      </c>
      <c r="M47">
        <v>53.78</v>
      </c>
      <c r="N47">
        <v>0.90144999999999997</v>
      </c>
      <c r="O47">
        <v>8.7600000000000004E-3</v>
      </c>
      <c r="P47">
        <v>2.8300000000000001E-3</v>
      </c>
      <c r="Q47">
        <v>9.8589999999999997E-2</v>
      </c>
      <c r="R47">
        <v>90</v>
      </c>
    </row>
    <row r="48" spans="1:21">
      <c r="A48">
        <v>295.25</v>
      </c>
      <c r="B48">
        <v>101580</v>
      </c>
      <c r="C48">
        <v>1.1985600000000001</v>
      </c>
      <c r="D48">
        <v>429.39564999999999</v>
      </c>
      <c r="E48">
        <v>8.6679999999999993E-2</v>
      </c>
      <c r="F48">
        <v>0.98865000000000003</v>
      </c>
      <c r="G48">
        <v>1486.2805599999999</v>
      </c>
      <c r="H48">
        <v>0.24188999999999999</v>
      </c>
      <c r="I48" s="2">
        <f t="shared" ref="I48:I56" si="8">E48*1480/G48</f>
        <v>8.6313717243263949E-2</v>
      </c>
      <c r="J48" s="2">
        <f t="shared" ref="J48:J56" si="9">D48*(1480/G48)^2</f>
        <v>425.77433219361927</v>
      </c>
      <c r="K48">
        <v>0.62109999999999999</v>
      </c>
      <c r="L48">
        <v>0</v>
      </c>
      <c r="M48">
        <v>53.78</v>
      </c>
      <c r="N48">
        <v>6.5263999999999998</v>
      </c>
      <c r="O48">
        <v>4.6899999999999997E-3</v>
      </c>
      <c r="P48">
        <v>2.7799999999999999E-3</v>
      </c>
      <c r="Q48">
        <v>8.6209999999999995E-2</v>
      </c>
      <c r="R48">
        <v>60</v>
      </c>
    </row>
    <row r="49" spans="1:21">
      <c r="A49">
        <v>295.25</v>
      </c>
      <c r="B49">
        <v>101580</v>
      </c>
      <c r="C49">
        <v>1.1985600000000001</v>
      </c>
      <c r="D49">
        <v>405.86106999999998</v>
      </c>
      <c r="E49">
        <v>0.15090999999999999</v>
      </c>
      <c r="F49">
        <v>1.2099500000000001</v>
      </c>
      <c r="G49">
        <v>1483.2061000000001</v>
      </c>
      <c r="H49">
        <v>0.32590999999999998</v>
      </c>
      <c r="I49" s="2">
        <f t="shared" si="8"/>
        <v>0.15058379277161815</v>
      </c>
      <c r="J49" s="2">
        <f t="shared" si="9"/>
        <v>404.1083468887233</v>
      </c>
      <c r="K49">
        <v>0.61529999999999996</v>
      </c>
      <c r="L49">
        <v>0</v>
      </c>
      <c r="M49">
        <v>53.78</v>
      </c>
      <c r="N49">
        <v>20.155080000000002</v>
      </c>
      <c r="O49">
        <v>5.0000000000000001E-3</v>
      </c>
      <c r="P49">
        <v>3.0100000000000001E-3</v>
      </c>
      <c r="Q49">
        <v>8.9050000000000004E-2</v>
      </c>
      <c r="R49">
        <v>50</v>
      </c>
    </row>
    <row r="50" spans="1:21">
      <c r="A50">
        <v>295.25</v>
      </c>
      <c r="B50">
        <v>101580</v>
      </c>
      <c r="C50">
        <v>1.1985600000000001</v>
      </c>
      <c r="D50">
        <v>379.24838999999997</v>
      </c>
      <c r="E50">
        <v>0.24031</v>
      </c>
      <c r="F50">
        <v>1.4737800000000001</v>
      </c>
      <c r="G50">
        <v>1478.95128</v>
      </c>
      <c r="H50">
        <v>0.39928000000000002</v>
      </c>
      <c r="I50" s="2">
        <f t="shared" si="8"/>
        <v>0.24048040311375232</v>
      </c>
      <c r="J50" s="2">
        <f t="shared" si="9"/>
        <v>379.78642852755166</v>
      </c>
      <c r="K50">
        <v>0.61150000000000004</v>
      </c>
      <c r="L50">
        <v>0</v>
      </c>
      <c r="M50">
        <v>53.78</v>
      </c>
      <c r="N50">
        <v>51.745809999999999</v>
      </c>
      <c r="O50">
        <v>4.9500000000000004E-3</v>
      </c>
      <c r="P50">
        <v>4.13E-3</v>
      </c>
      <c r="Q50">
        <v>8.5750000000000007E-2</v>
      </c>
      <c r="R50">
        <v>40</v>
      </c>
    </row>
    <row r="51" spans="1:21">
      <c r="A51">
        <v>295.25</v>
      </c>
      <c r="B51">
        <v>101580</v>
      </c>
      <c r="C51">
        <v>1.1985600000000001</v>
      </c>
      <c r="D51">
        <v>354.26697999999999</v>
      </c>
      <c r="E51">
        <v>0.32768000000000003</v>
      </c>
      <c r="F51">
        <v>1.66778</v>
      </c>
      <c r="G51">
        <v>1475.9263000000001</v>
      </c>
      <c r="H51">
        <v>0.45034999999999997</v>
      </c>
      <c r="I51" s="2">
        <f t="shared" si="8"/>
        <v>0.32858442863983112</v>
      </c>
      <c r="J51" s="2">
        <f t="shared" si="9"/>
        <v>356.2253014302068</v>
      </c>
      <c r="K51">
        <v>0.60940000000000005</v>
      </c>
      <c r="L51">
        <v>0</v>
      </c>
      <c r="M51">
        <v>53.78</v>
      </c>
      <c r="N51">
        <v>96.876339999999999</v>
      </c>
      <c r="O51">
        <v>5.3400000000000001E-3</v>
      </c>
      <c r="P51">
        <v>5.0099999999999997E-3</v>
      </c>
      <c r="Q51">
        <v>8.6679999999999993E-2</v>
      </c>
      <c r="R51">
        <v>30</v>
      </c>
    </row>
    <row r="52" spans="1:21">
      <c r="A52">
        <v>295.25</v>
      </c>
      <c r="B52">
        <v>101580</v>
      </c>
      <c r="C52">
        <v>1.1985600000000001</v>
      </c>
      <c r="D52">
        <v>327.8587</v>
      </c>
      <c r="E52">
        <v>0.39417000000000002</v>
      </c>
      <c r="F52">
        <v>1.75736</v>
      </c>
      <c r="G52">
        <v>1474.4920999999999</v>
      </c>
      <c r="H52">
        <v>0.47625000000000001</v>
      </c>
      <c r="I52" s="2">
        <f t="shared" si="8"/>
        <v>0.39564240459477545</v>
      </c>
      <c r="J52" s="2">
        <f t="shared" si="9"/>
        <v>330.31267815408779</v>
      </c>
      <c r="K52">
        <v>0.60840000000000005</v>
      </c>
      <c r="L52">
        <v>0</v>
      </c>
      <c r="M52">
        <v>53.78</v>
      </c>
      <c r="N52">
        <v>140.6405</v>
      </c>
      <c r="O52">
        <v>4.5300000000000002E-3</v>
      </c>
      <c r="P52">
        <v>7.2700000000000004E-3</v>
      </c>
      <c r="Q52">
        <v>9.0429999999999996E-2</v>
      </c>
      <c r="R52">
        <v>20</v>
      </c>
    </row>
    <row r="53" spans="1:21">
      <c r="A53">
        <v>295.25</v>
      </c>
      <c r="B53">
        <v>101580</v>
      </c>
      <c r="C53">
        <v>1.1985600000000001</v>
      </c>
      <c r="D53">
        <v>298.59213</v>
      </c>
      <c r="E53">
        <v>0.43981999999999999</v>
      </c>
      <c r="F53">
        <v>1.7942100000000001</v>
      </c>
      <c r="G53">
        <v>1473.61715</v>
      </c>
      <c r="H53">
        <v>0.47431000000000001</v>
      </c>
      <c r="I53" s="2">
        <f t="shared" si="8"/>
        <v>0.44172504371301591</v>
      </c>
      <c r="J53" s="2">
        <f t="shared" si="9"/>
        <v>301.18438584194399</v>
      </c>
      <c r="K53">
        <v>0.60780000000000001</v>
      </c>
      <c r="L53">
        <v>0</v>
      </c>
      <c r="M53">
        <v>53.78</v>
      </c>
      <c r="N53">
        <v>175.44962000000001</v>
      </c>
      <c r="O53">
        <v>5.11E-3</v>
      </c>
      <c r="P53">
        <v>8.8599999999999998E-3</v>
      </c>
      <c r="Q53">
        <v>8.5300000000000001E-2</v>
      </c>
      <c r="R53">
        <v>10</v>
      </c>
    </row>
    <row r="54" spans="1:21">
      <c r="A54">
        <v>295.25</v>
      </c>
      <c r="B54">
        <v>101580</v>
      </c>
      <c r="C54">
        <v>1.1985600000000001</v>
      </c>
      <c r="D54">
        <v>286.55905000000001</v>
      </c>
      <c r="E54">
        <v>0.45889000000000002</v>
      </c>
      <c r="F54">
        <v>1.8021799999999999</v>
      </c>
      <c r="G54">
        <v>1473.9246499999999</v>
      </c>
      <c r="H54">
        <v>0.47273999999999999</v>
      </c>
      <c r="I54" s="2">
        <f t="shared" si="8"/>
        <v>0.46078149245960437</v>
      </c>
      <c r="J54" s="2">
        <f t="shared" si="9"/>
        <v>288.92624633712165</v>
      </c>
      <c r="K54">
        <v>0.60760000000000003</v>
      </c>
      <c r="L54">
        <v>0</v>
      </c>
      <c r="M54">
        <v>53.78</v>
      </c>
      <c r="N54">
        <v>191.12558999999999</v>
      </c>
      <c r="O54">
        <v>4.5999999999999999E-3</v>
      </c>
      <c r="P54">
        <v>7.77E-3</v>
      </c>
      <c r="Q54">
        <v>8.3729999999999999E-2</v>
      </c>
      <c r="R54">
        <v>0</v>
      </c>
    </row>
    <row r="55" spans="1:21">
      <c r="A55">
        <v>295.25</v>
      </c>
      <c r="B55">
        <v>101580</v>
      </c>
      <c r="C55">
        <v>1.1985600000000001</v>
      </c>
      <c r="D55">
        <v>261.63560000000001</v>
      </c>
      <c r="E55">
        <v>0.49362</v>
      </c>
      <c r="F55">
        <v>1.80796</v>
      </c>
      <c r="G55">
        <v>1473.7073700000001</v>
      </c>
      <c r="H55">
        <v>0.46288000000000001</v>
      </c>
      <c r="I55" s="2">
        <f t="shared" si="8"/>
        <v>0.49572772374748991</v>
      </c>
      <c r="J55" s="2">
        <f t="shared" si="9"/>
        <v>263.87470257342602</v>
      </c>
      <c r="K55">
        <v>0.60719999999999996</v>
      </c>
      <c r="L55">
        <v>0</v>
      </c>
      <c r="M55">
        <v>53.78</v>
      </c>
      <c r="N55">
        <v>221.44118</v>
      </c>
      <c r="O55">
        <v>3.9300000000000003E-3</v>
      </c>
      <c r="P55">
        <v>6.6499999999999997E-3</v>
      </c>
      <c r="Q55">
        <v>9.1310000000000002E-2</v>
      </c>
      <c r="R55" t="s">
        <v>94</v>
      </c>
    </row>
    <row r="56" spans="1:21">
      <c r="A56">
        <v>295.25</v>
      </c>
      <c r="B56">
        <v>101580</v>
      </c>
      <c r="C56">
        <v>1.1985600000000001</v>
      </c>
      <c r="D56">
        <v>286.56936999999999</v>
      </c>
      <c r="E56">
        <v>0.45878999999999998</v>
      </c>
      <c r="F56">
        <v>1.80369</v>
      </c>
      <c r="G56">
        <v>1473.73613</v>
      </c>
      <c r="H56">
        <v>0.47232000000000002</v>
      </c>
      <c r="I56" s="2">
        <f t="shared" si="8"/>
        <v>0.46074001049292318</v>
      </c>
      <c r="J56" s="2">
        <f t="shared" si="9"/>
        <v>289.01057774141083</v>
      </c>
      <c r="K56">
        <v>0.60760000000000003</v>
      </c>
      <c r="L56">
        <v>0</v>
      </c>
      <c r="M56">
        <v>53.78</v>
      </c>
      <c r="N56">
        <v>191.04307</v>
      </c>
      <c r="O56">
        <v>5.1599999999999997E-3</v>
      </c>
      <c r="P56">
        <v>1.0489999999999999E-2</v>
      </c>
      <c r="Q56">
        <v>9.0149999999999994E-2</v>
      </c>
      <c r="R56">
        <v>0</v>
      </c>
      <c r="S56" t="s">
        <v>95</v>
      </c>
      <c r="T56" t="s">
        <v>97</v>
      </c>
      <c r="U56" s="1">
        <f>100*(H54-H56)/H54</f>
        <v>8.8843761898713028E-2</v>
      </c>
    </row>
    <row r="57" spans="1:21">
      <c r="R57" t="s">
        <v>96</v>
      </c>
    </row>
    <row r="58" spans="1:21">
      <c r="A58">
        <v>295.25</v>
      </c>
      <c r="B58">
        <v>101580</v>
      </c>
      <c r="C58">
        <v>1.1985600000000001</v>
      </c>
      <c r="D58">
        <v>383.97694999999999</v>
      </c>
      <c r="E58">
        <v>3.3919999999999999E-2</v>
      </c>
      <c r="F58">
        <v>0.63336999999999999</v>
      </c>
      <c r="G58">
        <v>1358.13807</v>
      </c>
      <c r="H58">
        <v>0.14460999999999999</v>
      </c>
      <c r="I58" s="2">
        <f>E58*1350/G58</f>
        <v>3.3716748695513707E-2</v>
      </c>
      <c r="J58" s="2">
        <f>D58*(1350/G58)^2</f>
        <v>379.38909660128297</v>
      </c>
      <c r="K58">
        <v>0.64039999999999997</v>
      </c>
      <c r="L58">
        <v>0</v>
      </c>
      <c r="M58">
        <v>49</v>
      </c>
      <c r="N58">
        <v>0.94028999999999996</v>
      </c>
      <c r="O58">
        <v>7.26E-3</v>
      </c>
      <c r="P58">
        <v>2.97E-3</v>
      </c>
      <c r="Q58">
        <v>0.1168</v>
      </c>
      <c r="R58">
        <v>90</v>
      </c>
    </row>
    <row r="59" spans="1:21">
      <c r="A59">
        <v>295.25</v>
      </c>
      <c r="B59">
        <v>101580</v>
      </c>
      <c r="C59">
        <v>1.1985600000000001</v>
      </c>
      <c r="D59">
        <v>354.99477999999999</v>
      </c>
      <c r="E59">
        <v>8.5769999999999999E-2</v>
      </c>
      <c r="F59">
        <v>0.86582999999999999</v>
      </c>
      <c r="G59">
        <v>1355.0505499999999</v>
      </c>
      <c r="H59">
        <v>0.24782000000000001</v>
      </c>
      <c r="I59" s="2">
        <f t="shared" ref="I59:I67" si="10">E59*1350/G59</f>
        <v>8.5450317702169862E-2</v>
      </c>
      <c r="J59" s="2">
        <f t="shared" ref="J59:J67" si="11">D59*(1350/G59)^2</f>
        <v>352.35343558846557</v>
      </c>
      <c r="K59">
        <v>0.62260000000000004</v>
      </c>
      <c r="L59">
        <v>0</v>
      </c>
      <c r="M59">
        <v>49</v>
      </c>
      <c r="N59">
        <v>6.3588199999999997</v>
      </c>
      <c r="O59">
        <v>5.6499999999999996E-3</v>
      </c>
      <c r="P59">
        <v>2.97E-3</v>
      </c>
      <c r="Q59">
        <v>0.10589</v>
      </c>
      <c r="R59">
        <v>60</v>
      </c>
    </row>
    <row r="60" spans="1:21">
      <c r="A60">
        <v>295.25</v>
      </c>
      <c r="B60">
        <v>101580</v>
      </c>
      <c r="C60">
        <v>1.1985600000000001</v>
      </c>
      <c r="D60">
        <v>338.06457</v>
      </c>
      <c r="E60">
        <v>0.13783999999999999</v>
      </c>
      <c r="F60">
        <v>1.03338</v>
      </c>
      <c r="G60">
        <v>1352.81729</v>
      </c>
      <c r="H60">
        <v>0.31830999999999998</v>
      </c>
      <c r="I60" s="2">
        <f t="shared" si="10"/>
        <v>0.13755294330988332</v>
      </c>
      <c r="J60" s="2">
        <f t="shared" si="11"/>
        <v>336.65797324957157</v>
      </c>
      <c r="K60">
        <v>0.61609999999999998</v>
      </c>
      <c r="L60">
        <v>0</v>
      </c>
      <c r="M60">
        <v>49</v>
      </c>
      <c r="N60">
        <v>16.772179999999999</v>
      </c>
      <c r="O60">
        <v>5.8599999999999998E-3</v>
      </c>
      <c r="P60">
        <v>2.9499999999999999E-3</v>
      </c>
      <c r="Q60">
        <v>9.9180000000000004E-2</v>
      </c>
      <c r="R60">
        <v>50</v>
      </c>
    </row>
    <row r="61" spans="1:21">
      <c r="A61">
        <v>295.25</v>
      </c>
      <c r="B61">
        <v>101580</v>
      </c>
      <c r="C61">
        <v>1.1985600000000001</v>
      </c>
      <c r="D61">
        <v>318.10624000000001</v>
      </c>
      <c r="E61">
        <v>0.21368000000000001</v>
      </c>
      <c r="F61">
        <v>1.2399899999999999</v>
      </c>
      <c r="G61">
        <v>1349.9784299999999</v>
      </c>
      <c r="H61">
        <v>0.38774999999999998</v>
      </c>
      <c r="I61" s="2">
        <f t="shared" si="10"/>
        <v>0.2136834141861067</v>
      </c>
      <c r="J61" s="2">
        <f t="shared" si="11"/>
        <v>318.11640550525755</v>
      </c>
      <c r="K61">
        <v>0.61229999999999996</v>
      </c>
      <c r="L61">
        <v>0</v>
      </c>
      <c r="M61">
        <v>49</v>
      </c>
      <c r="N61">
        <v>40.804699999999997</v>
      </c>
      <c r="O61">
        <v>4.8999999999999998E-3</v>
      </c>
      <c r="P61">
        <v>3.81E-3</v>
      </c>
      <c r="Q61">
        <v>9.3329999999999996E-2</v>
      </c>
      <c r="R61">
        <v>40</v>
      </c>
    </row>
    <row r="62" spans="1:21">
      <c r="A62">
        <v>295.25</v>
      </c>
      <c r="B62">
        <v>101580</v>
      </c>
      <c r="C62">
        <v>1.1985600000000001</v>
      </c>
      <c r="D62">
        <v>293.01028000000002</v>
      </c>
      <c r="E62">
        <v>0.30723</v>
      </c>
      <c r="F62">
        <v>1.4274899999999999</v>
      </c>
      <c r="G62">
        <v>1347.42695</v>
      </c>
      <c r="H62">
        <v>0.44694</v>
      </c>
      <c r="I62" s="2">
        <f t="shared" si="10"/>
        <v>0.30781668720519506</v>
      </c>
      <c r="J62" s="2">
        <f t="shared" si="11"/>
        <v>294.1304148680054</v>
      </c>
      <c r="K62">
        <v>0.60980000000000001</v>
      </c>
      <c r="L62">
        <v>0</v>
      </c>
      <c r="M62">
        <v>49</v>
      </c>
      <c r="N62">
        <v>85.053120000000007</v>
      </c>
      <c r="O62">
        <v>4.2100000000000002E-3</v>
      </c>
      <c r="P62">
        <v>4.0699999999999998E-3</v>
      </c>
      <c r="Q62">
        <v>9.4789999999999999E-2</v>
      </c>
      <c r="R62">
        <v>30</v>
      </c>
    </row>
    <row r="63" spans="1:21">
      <c r="A63">
        <v>295.25</v>
      </c>
      <c r="B63">
        <v>101580</v>
      </c>
      <c r="C63">
        <v>1.1985600000000001</v>
      </c>
      <c r="D63">
        <v>273.84586999999999</v>
      </c>
      <c r="E63">
        <v>0.36029</v>
      </c>
      <c r="F63">
        <v>1.4898400000000001</v>
      </c>
      <c r="G63">
        <v>1346.4850899999999</v>
      </c>
      <c r="H63">
        <v>0.46966000000000002</v>
      </c>
      <c r="I63" s="2">
        <f t="shared" si="10"/>
        <v>0.36123051314292687</v>
      </c>
      <c r="J63" s="2">
        <f t="shared" si="11"/>
        <v>275.27744903814641</v>
      </c>
      <c r="K63">
        <v>0.6089</v>
      </c>
      <c r="L63">
        <v>0</v>
      </c>
      <c r="M63">
        <v>49</v>
      </c>
      <c r="N63">
        <v>117.31037000000001</v>
      </c>
      <c r="O63">
        <v>4.62E-3</v>
      </c>
      <c r="P63">
        <v>9.1400000000000006E-3</v>
      </c>
      <c r="Q63">
        <v>8.6010000000000003E-2</v>
      </c>
      <c r="R63">
        <v>20</v>
      </c>
    </row>
    <row r="64" spans="1:21">
      <c r="A64">
        <v>295.25</v>
      </c>
      <c r="B64">
        <v>101580</v>
      </c>
      <c r="C64">
        <v>1.1985600000000001</v>
      </c>
      <c r="D64">
        <v>250.53286</v>
      </c>
      <c r="E64">
        <v>0.40104000000000001</v>
      </c>
      <c r="F64">
        <v>1.51885</v>
      </c>
      <c r="G64">
        <v>1346.1154899999999</v>
      </c>
      <c r="H64">
        <v>0.46927000000000002</v>
      </c>
      <c r="I64" s="2">
        <f t="shared" si="10"/>
        <v>0.40219728843622476</v>
      </c>
      <c r="J64" s="2">
        <f t="shared" si="11"/>
        <v>251.98088075895373</v>
      </c>
      <c r="K64">
        <v>0.60829999999999995</v>
      </c>
      <c r="L64">
        <v>0</v>
      </c>
      <c r="M64">
        <v>49</v>
      </c>
      <c r="N64">
        <v>145.63525000000001</v>
      </c>
      <c r="O64">
        <v>4.8799999999999998E-3</v>
      </c>
      <c r="P64">
        <v>8.2199999999999999E-3</v>
      </c>
      <c r="Q64">
        <v>9.5769999999999994E-2</v>
      </c>
      <c r="R64">
        <v>10</v>
      </c>
    </row>
    <row r="65" spans="1:21">
      <c r="A65">
        <v>295.25</v>
      </c>
      <c r="B65">
        <v>101580</v>
      </c>
      <c r="C65">
        <v>1.1985600000000001</v>
      </c>
      <c r="D65">
        <v>239.67427000000001</v>
      </c>
      <c r="E65">
        <v>0.41926000000000002</v>
      </c>
      <c r="F65">
        <v>1.5288999999999999</v>
      </c>
      <c r="G65">
        <v>1345.9491599999999</v>
      </c>
      <c r="H65">
        <v>0.46631</v>
      </c>
      <c r="I65" s="2">
        <f t="shared" si="10"/>
        <v>0.42052182713944414</v>
      </c>
      <c r="J65" s="2">
        <f t="shared" si="11"/>
        <v>241.11911376966432</v>
      </c>
      <c r="K65">
        <v>0.60799999999999998</v>
      </c>
      <c r="L65">
        <v>0</v>
      </c>
      <c r="M65">
        <v>49</v>
      </c>
      <c r="N65">
        <v>159.32932</v>
      </c>
      <c r="O65">
        <v>5.2300000000000003E-3</v>
      </c>
      <c r="P65">
        <v>5.9300000000000004E-3</v>
      </c>
      <c r="Q65">
        <v>9.3020000000000005E-2</v>
      </c>
      <c r="R65">
        <v>0</v>
      </c>
    </row>
    <row r="66" spans="1:21">
      <c r="A66">
        <v>295.25</v>
      </c>
      <c r="B66">
        <v>101580</v>
      </c>
      <c r="C66">
        <v>1.1985600000000001</v>
      </c>
      <c r="D66">
        <v>218.65334999999999</v>
      </c>
      <c r="E66">
        <v>0.45166000000000001</v>
      </c>
      <c r="F66">
        <v>1.53356</v>
      </c>
      <c r="G66">
        <v>1345.8214700000001</v>
      </c>
      <c r="H66">
        <v>0.45693</v>
      </c>
      <c r="I66" s="2">
        <f t="shared" si="10"/>
        <v>0.45306232185462159</v>
      </c>
      <c r="J66" s="2">
        <f t="shared" si="11"/>
        <v>220.01321527271594</v>
      </c>
      <c r="K66">
        <v>0.60760000000000003</v>
      </c>
      <c r="L66">
        <v>0</v>
      </c>
      <c r="M66">
        <v>49</v>
      </c>
      <c r="N66">
        <v>185.14591999999999</v>
      </c>
      <c r="O66">
        <v>4.47E-3</v>
      </c>
      <c r="P66">
        <v>7.4799999999999997E-3</v>
      </c>
      <c r="Q66">
        <v>9.0410000000000004E-2</v>
      </c>
      <c r="R66" t="s">
        <v>94</v>
      </c>
    </row>
    <row r="67" spans="1:21">
      <c r="A67">
        <v>295.25</v>
      </c>
      <c r="B67">
        <v>101580</v>
      </c>
      <c r="C67">
        <v>1.1985600000000001</v>
      </c>
      <c r="D67">
        <v>292.92173000000003</v>
      </c>
      <c r="E67">
        <v>0.30859999999999999</v>
      </c>
      <c r="F67">
        <v>1.43289</v>
      </c>
      <c r="G67">
        <v>1347.2694100000001</v>
      </c>
      <c r="H67">
        <v>0.44713999999999998</v>
      </c>
      <c r="I67" s="2">
        <f t="shared" si="10"/>
        <v>0.30922545773528692</v>
      </c>
      <c r="J67" s="2">
        <f t="shared" si="11"/>
        <v>294.1102965797603</v>
      </c>
      <c r="K67">
        <v>0.60980000000000001</v>
      </c>
      <c r="L67">
        <v>0</v>
      </c>
      <c r="M67">
        <v>49</v>
      </c>
      <c r="N67">
        <v>85.809089999999998</v>
      </c>
      <c r="O67">
        <v>3.8899999999999998E-3</v>
      </c>
      <c r="P67">
        <v>4.1599999999999996E-3</v>
      </c>
      <c r="Q67">
        <v>9.1829999999999995E-2</v>
      </c>
      <c r="R67">
        <v>30</v>
      </c>
      <c r="S67" t="s">
        <v>95</v>
      </c>
      <c r="T67" t="s">
        <v>97</v>
      </c>
      <c r="U67" s="1">
        <f>100*(H62-H67)/H62</f>
        <v>-4.4748735848207356E-2</v>
      </c>
    </row>
  </sheetData>
  <pageMargins left="0.7" right="0.7" top="3.54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B66"/>
  <sheetViews>
    <sheetView topLeftCell="C1" zoomScale="55" zoomScaleNormal="55" workbookViewId="0">
      <selection activeCell="AB12" sqref="AB12:AB13"/>
    </sheetView>
  </sheetViews>
  <sheetFormatPr baseColWidth="10" defaultRowHeight="15"/>
  <sheetData>
    <row r="1" spans="1:28" ht="15.75" thickBot="1">
      <c r="K1" t="s">
        <v>14</v>
      </c>
      <c r="O1" t="s">
        <v>15</v>
      </c>
      <c r="S1" t="s">
        <v>16</v>
      </c>
      <c r="W1" t="s">
        <v>17</v>
      </c>
      <c r="AB1" t="s">
        <v>18</v>
      </c>
    </row>
    <row r="2" spans="1:28" ht="15.75" thickBot="1">
      <c r="B2" s="3" t="s">
        <v>19</v>
      </c>
      <c r="C2" s="4" t="s">
        <v>20</v>
      </c>
      <c r="D2" s="4"/>
      <c r="E2" s="4" t="s">
        <v>21</v>
      </c>
      <c r="F2" s="4" t="s">
        <v>22</v>
      </c>
      <c r="H2" s="5"/>
      <c r="I2" s="5"/>
      <c r="J2" s="5"/>
      <c r="K2" s="5" t="s">
        <v>23</v>
      </c>
      <c r="L2" s="5" t="s">
        <v>24</v>
      </c>
      <c r="M2" s="5" t="s">
        <v>25</v>
      </c>
      <c r="O2" s="5" t="s">
        <v>26</v>
      </c>
      <c r="P2" s="5" t="s">
        <v>27</v>
      </c>
      <c r="Q2" s="5" t="s">
        <v>28</v>
      </c>
      <c r="S2" s="5" t="s">
        <v>29</v>
      </c>
      <c r="T2" s="5" t="s">
        <v>30</v>
      </c>
      <c r="U2" s="5" t="s">
        <v>31</v>
      </c>
      <c r="W2" s="5" t="s">
        <v>32</v>
      </c>
      <c r="X2" s="5" t="s">
        <v>33</v>
      </c>
      <c r="Y2" s="5" t="s">
        <v>34</v>
      </c>
      <c r="Z2" s="5" t="s">
        <v>35</v>
      </c>
      <c r="AB2" s="5" t="s">
        <v>36</v>
      </c>
    </row>
    <row r="3" spans="1:28">
      <c r="A3" t="s">
        <v>37</v>
      </c>
      <c r="E3">
        <v>0.02</v>
      </c>
      <c r="F3" t="s">
        <v>38</v>
      </c>
      <c r="K3">
        <v>0.13237947883328441</v>
      </c>
      <c r="L3">
        <v>2.2754697534445736</v>
      </c>
      <c r="M3">
        <v>0.45588316629075887</v>
      </c>
      <c r="O3">
        <f>($B$49^2+$B$51^2+K3^2)^0.5</f>
        <v>0.62161995336071063</v>
      </c>
      <c r="P3">
        <f>($B$50^2+$B$52^2+L3^2)^0.5</f>
        <v>2.3551326159775181</v>
      </c>
      <c r="Q3">
        <f>($B$54^2+$B$55^2+M3^2)^0.5</f>
        <v>0.50776910235587169</v>
      </c>
      <c r="S3">
        <v>4.1403068949052556E-3</v>
      </c>
      <c r="T3">
        <v>1.6858734661889664E-3</v>
      </c>
      <c r="U3">
        <v>0.12681859188122219</v>
      </c>
      <c r="W3">
        <f t="shared" ref="W3:W11" si="0">(O3^2+S3^2)^0.5</f>
        <v>0.62163374148879347</v>
      </c>
      <c r="X3">
        <f>($B$53^2+  (2*$E$13^2/(1-$E$13^4))^2*$B$48^2 + (2/(1-$E$13^4))^2*$B$47^2 + 0.25*$B$46^2 + 0.25*$P3^2 +$T3^2)^0.5</f>
        <v>1.3695584849664193</v>
      </c>
      <c r="Y3">
        <f>(Q3^2+U3^2)^0.5</f>
        <v>0.52336642665920374</v>
      </c>
      <c r="Z3">
        <f>0.00000776/(60/Test!G3)*100</f>
        <v>2.660613194E-2</v>
      </c>
      <c r="AB3">
        <f>(W3^2+X3^2+Y3^2+Z3^2)^0.5</f>
        <v>1.5927144298686133</v>
      </c>
    </row>
    <row r="4" spans="1:28">
      <c r="A4" t="s">
        <v>39</v>
      </c>
      <c r="E4" s="6">
        <f>+E3/(PI()*(E12/2)^2)</f>
        <v>0.28294212105225836</v>
      </c>
      <c r="F4" t="s">
        <v>40</v>
      </c>
      <c r="K4">
        <v>0.13001552434611979</v>
      </c>
      <c r="L4">
        <v>1.7207976190807632</v>
      </c>
      <c r="M4">
        <v>0.39250665063795021</v>
      </c>
      <c r="O4">
        <f t="shared" ref="O4:O66" si="1">($B$49^2+$B$51^2+K4^2)^0.5</f>
        <v>0.62112082284447401</v>
      </c>
      <c r="P4">
        <f t="shared" ref="P4:P66" si="2">($B$50^2+$B$52^2+L4^2)^0.5</f>
        <v>1.8248373861344533</v>
      </c>
      <c r="Q4">
        <f t="shared" ref="Q4:Q66" si="3">($B$54^2+$B$55^2+M4^2)^0.5</f>
        <v>0.45173163581381137</v>
      </c>
      <c r="S4">
        <v>3.2291914554575421E-3</v>
      </c>
      <c r="T4">
        <v>1.7416560441143366E-3</v>
      </c>
      <c r="U4">
        <v>0.16196781403841934</v>
      </c>
      <c r="W4">
        <f t="shared" si="0"/>
        <v>0.62112921703012203</v>
      </c>
      <c r="X4">
        <f t="shared" ref="X4:X66" si="4">($B$53^2+  (2*$E$13^2/(1-$E$13^4))^2*$B$48^2 + (2/(1-$E$13^4))^2*$B$47^2 + 0.25*$B$46^2 + 0.25*$P4^2 +T4^2)^0.5</f>
        <v>1.1495808352126329</v>
      </c>
      <c r="Y4">
        <f t="shared" ref="Y4:Y66" si="5">(Q4^2+U4^2)^0.5</f>
        <v>0.47989065794137509</v>
      </c>
      <c r="Z4">
        <f>0.00000776/(60/Test!G4)*100</f>
        <v>2.6357604101333337E-2</v>
      </c>
      <c r="AB4">
        <f t="shared" ref="AB4:AB66" si="6">(W4^2+X4^2+Y4^2+Z4^2)^0.5</f>
        <v>1.3922382582769357</v>
      </c>
    </row>
    <row r="5" spans="1:28">
      <c r="A5" t="s">
        <v>41</v>
      </c>
      <c r="E5" s="6">
        <f>+E3/(PI()*(E9/2)^2)</f>
        <v>0.55088785061553824</v>
      </c>
      <c r="F5" t="s">
        <v>40</v>
      </c>
      <c r="K5">
        <v>0.12731252635214188</v>
      </c>
      <c r="L5">
        <v>1.0636120840442271</v>
      </c>
      <c r="M5">
        <v>0.38630370354250088</v>
      </c>
      <c r="O5">
        <f t="shared" si="1"/>
        <v>0.62056064922468679</v>
      </c>
      <c r="P5">
        <f t="shared" si="2"/>
        <v>1.224809252628712</v>
      </c>
      <c r="Q5">
        <f t="shared" si="3"/>
        <v>0.44635249676757993</v>
      </c>
      <c r="S5">
        <v>3.7498288494276638E-3</v>
      </c>
      <c r="T5">
        <v>1.7664483009700569E-3</v>
      </c>
      <c r="U5">
        <v>0.15555281757700179</v>
      </c>
      <c r="W5">
        <f t="shared" si="0"/>
        <v>0.62057197856700297</v>
      </c>
      <c r="X5">
        <f t="shared" si="4"/>
        <v>0.92955243990574232</v>
      </c>
      <c r="Y5">
        <f t="shared" si="5"/>
        <v>0.47268089704027227</v>
      </c>
      <c r="Z5">
        <f>0.00000776/(60/Test!G5)*100</f>
        <v>2.6183225002666666E-2</v>
      </c>
      <c r="AB5">
        <f t="shared" si="6"/>
        <v>1.2137916257808092</v>
      </c>
    </row>
    <row r="6" spans="1:28">
      <c r="A6" t="s">
        <v>42</v>
      </c>
      <c r="E6" s="7">
        <f>1.79/100000</f>
        <v>1.7900000000000001E-5</v>
      </c>
      <c r="F6" t="s">
        <v>43</v>
      </c>
      <c r="K6">
        <v>0.12500076851980296</v>
      </c>
      <c r="L6">
        <v>0.47070719671358979</v>
      </c>
      <c r="M6">
        <v>0.38609463241442338</v>
      </c>
      <c r="O6">
        <f t="shared" si="1"/>
        <v>0.6200905031771905</v>
      </c>
      <c r="P6">
        <f t="shared" si="2"/>
        <v>0.76840894388207515</v>
      </c>
      <c r="Q6">
        <f t="shared" si="3"/>
        <v>0.44617156473628922</v>
      </c>
      <c r="S6">
        <v>2.7953269604824404E-3</v>
      </c>
      <c r="T6">
        <v>2.7705347036267201E-3</v>
      </c>
      <c r="U6">
        <v>0.1329918638382965</v>
      </c>
      <c r="W6">
        <f t="shared" si="0"/>
        <v>0.62009680371967513</v>
      </c>
      <c r="X6">
        <f t="shared" si="4"/>
        <v>0.79790096126394539</v>
      </c>
      <c r="Y6">
        <f t="shared" si="5"/>
        <v>0.46557051133680355</v>
      </c>
      <c r="Z6">
        <f>0.00000776/(60/Test!G6)*100</f>
        <v>2.5990299892E-2</v>
      </c>
      <c r="AB6">
        <f t="shared" si="6"/>
        <v>1.1129229023989822</v>
      </c>
    </row>
    <row r="7" spans="1:28">
      <c r="A7" t="s">
        <v>44</v>
      </c>
      <c r="E7" s="8">
        <f>+E6/E11</f>
        <v>1.4854771784232365E-5</v>
      </c>
      <c r="F7" t="s">
        <v>45</v>
      </c>
      <c r="K7">
        <v>0.12269601736755113</v>
      </c>
      <c r="L7">
        <v>0.21048155076364436</v>
      </c>
      <c r="M7">
        <v>0.38993987794117418</v>
      </c>
      <c r="O7">
        <f t="shared" si="1"/>
        <v>0.61963001273167717</v>
      </c>
      <c r="P7">
        <f t="shared" si="2"/>
        <v>0.64279819789096215</v>
      </c>
      <c r="Q7">
        <f t="shared" si="3"/>
        <v>0.44950317953133306</v>
      </c>
      <c r="S7">
        <v>2.6279792267063298E-3</v>
      </c>
      <c r="T7">
        <v>4.8096978300096981E-3</v>
      </c>
      <c r="U7">
        <v>0.11072841718185988</v>
      </c>
      <c r="W7">
        <f t="shared" si="0"/>
        <v>0.61963558560873044</v>
      </c>
      <c r="X7">
        <f t="shared" si="4"/>
        <v>0.76963998457725402</v>
      </c>
      <c r="Y7">
        <f t="shared" si="5"/>
        <v>0.46294048297851187</v>
      </c>
      <c r="Z7">
        <f>0.00000776/(60/Test!G7)*100</f>
        <v>2.577128773066667E-2</v>
      </c>
      <c r="AB7">
        <f t="shared" si="6"/>
        <v>1.0914540828016654</v>
      </c>
    </row>
    <row r="8" spans="1:28">
      <c r="A8" t="s">
        <v>46</v>
      </c>
      <c r="E8" s="8">
        <f>+E4*E12/E7</f>
        <v>5714.1662994632061</v>
      </c>
      <c r="K8">
        <v>0.12142943318602994</v>
      </c>
      <c r="L8">
        <v>0.13373031039419997</v>
      </c>
      <c r="M8">
        <v>0.39259663806413636</v>
      </c>
      <c r="O8">
        <f t="shared" si="1"/>
        <v>0.61938045436054934</v>
      </c>
      <c r="P8">
        <f t="shared" si="2"/>
        <v>0.62190902543549653</v>
      </c>
      <c r="Q8">
        <f t="shared" si="3"/>
        <v>0.45180982749300896</v>
      </c>
      <c r="S8">
        <v>3.9915533537709345E-3</v>
      </c>
      <c r="T8">
        <v>4.8716784721489978E-3</v>
      </c>
      <c r="U8">
        <v>9.9237206129233591E-2</v>
      </c>
      <c r="W8">
        <f t="shared" si="0"/>
        <v>0.61939331586808111</v>
      </c>
      <c r="X8">
        <f t="shared" si="4"/>
        <v>0.76533759485246833</v>
      </c>
      <c r="Y8">
        <f t="shared" si="5"/>
        <v>0.46257987775042542</v>
      </c>
      <c r="Z8">
        <f>0.00000776/(60/Test!G8)*100</f>
        <v>2.5654061937333335E-2</v>
      </c>
      <c r="AB8">
        <f t="shared" si="6"/>
        <v>1.0881305013784424</v>
      </c>
    </row>
    <row r="9" spans="1:28">
      <c r="A9" t="s">
        <v>47</v>
      </c>
      <c r="D9" t="s">
        <v>48</v>
      </c>
      <c r="E9">
        <v>0.215</v>
      </c>
      <c r="F9" t="s">
        <v>49</v>
      </c>
      <c r="K9">
        <v>0.12180081472515641</v>
      </c>
      <c r="L9">
        <v>0.11477584695455692</v>
      </c>
      <c r="M9">
        <v>0.39360772541483713</v>
      </c>
      <c r="O9">
        <f t="shared" si="1"/>
        <v>0.61945337069686845</v>
      </c>
      <c r="P9">
        <f t="shared" si="2"/>
        <v>0.61811045537519904</v>
      </c>
      <c r="Q9">
        <f t="shared" si="3"/>
        <v>0.45268868055899281</v>
      </c>
      <c r="S9">
        <v>5.8943590674474513E-3</v>
      </c>
      <c r="T9">
        <v>1.4063407701407219E-2</v>
      </c>
      <c r="U9">
        <v>0.10083630669642753</v>
      </c>
      <c r="W9">
        <f t="shared" si="0"/>
        <v>0.61948141371354148</v>
      </c>
      <c r="X9">
        <f t="shared" si="4"/>
        <v>0.76468170179565742</v>
      </c>
      <c r="Y9">
        <f t="shared" si="5"/>
        <v>0.46378335702612034</v>
      </c>
      <c r="Z9">
        <f>0.00000776/(60/Test!G9)*100</f>
        <v>2.5604395350666671E-2</v>
      </c>
      <c r="AB9">
        <f t="shared" si="6"/>
        <v>1.0882306347063206</v>
      </c>
    </row>
    <row r="10" spans="1:28">
      <c r="A10" t="s">
        <v>50</v>
      </c>
      <c r="E10" s="9">
        <v>500</v>
      </c>
      <c r="F10" t="s">
        <v>51</v>
      </c>
      <c r="K10">
        <v>0.12358074370761274</v>
      </c>
      <c r="L10">
        <v>0.11115898510946454</v>
      </c>
      <c r="M10">
        <v>0.39405944586187575</v>
      </c>
      <c r="O10">
        <f t="shared" si="1"/>
        <v>0.6198058084717557</v>
      </c>
      <c r="P10">
        <f t="shared" si="2"/>
        <v>0.61744907479934419</v>
      </c>
      <c r="Q10">
        <f t="shared" si="3"/>
        <v>0.45308150135816472</v>
      </c>
      <c r="S10">
        <v>4.5121907477410567E-3</v>
      </c>
      <c r="T10">
        <v>1.0109042732919868E-2</v>
      </c>
      <c r="U10">
        <v>9.9261998386089303E-2</v>
      </c>
      <c r="W10">
        <f t="shared" si="0"/>
        <v>0.61982223264470815</v>
      </c>
      <c r="X10">
        <f t="shared" si="4"/>
        <v>0.76448559476389755</v>
      </c>
      <c r="Y10">
        <f t="shared" si="5"/>
        <v>0.46382732907469842</v>
      </c>
      <c r="Z10">
        <f>0.00000776/(60/Test!G10)*100</f>
        <v>2.5582773145333332E-2</v>
      </c>
      <c r="AB10">
        <f t="shared" si="6"/>
        <v>1.088305147539308</v>
      </c>
    </row>
    <row r="11" spans="1:28">
      <c r="A11" t="s">
        <v>52</v>
      </c>
      <c r="E11" s="10">
        <v>1.2050000000000001</v>
      </c>
      <c r="F11" t="s">
        <v>53</v>
      </c>
      <c r="K11">
        <v>0.12929446065544895</v>
      </c>
      <c r="L11">
        <v>0.11190851483073934</v>
      </c>
      <c r="M11">
        <v>0.39411699796095201</v>
      </c>
      <c r="O11">
        <f t="shared" si="1"/>
        <v>0.62097028717659541</v>
      </c>
      <c r="P11">
        <f t="shared" si="2"/>
        <v>0.61758445227484626</v>
      </c>
      <c r="Q11">
        <f t="shared" si="3"/>
        <v>0.4531315571462145</v>
      </c>
      <c r="S11">
        <v>3.9791572253430755E-3</v>
      </c>
      <c r="T11">
        <v>1.0573897548964619E-2</v>
      </c>
      <c r="U11">
        <v>0.1019023737412235</v>
      </c>
      <c r="W11">
        <f t="shared" si="0"/>
        <v>0.62098303620019069</v>
      </c>
      <c r="X11">
        <f t="shared" si="4"/>
        <v>0.76451922022678676</v>
      </c>
      <c r="Y11">
        <f t="shared" si="5"/>
        <v>0.46444838449051479</v>
      </c>
      <c r="Z11">
        <f>0.00000776/(60/Test!G11)*100</f>
        <v>2.5561776008000001E-2</v>
      </c>
      <c r="AB11">
        <f t="shared" si="6"/>
        <v>1.0892544586060291</v>
      </c>
    </row>
    <row r="12" spans="1:28">
      <c r="A12" t="s">
        <v>54</v>
      </c>
      <c r="D12" t="s">
        <v>55</v>
      </c>
      <c r="E12">
        <v>0.3</v>
      </c>
      <c r="F12" t="s">
        <v>49</v>
      </c>
    </row>
    <row r="13" spans="1:28">
      <c r="A13" t="s">
        <v>56</v>
      </c>
      <c r="E13" s="11">
        <f>+E9/E12</f>
        <v>0.71666666666666667</v>
      </c>
    </row>
    <row r="14" spans="1:28">
      <c r="A14" s="12" t="s">
        <v>57</v>
      </c>
      <c r="B14" s="12"/>
      <c r="C14" s="12"/>
      <c r="D14" s="12"/>
      <c r="E14" s="13">
        <v>0</v>
      </c>
      <c r="F14" s="12" t="s">
        <v>49</v>
      </c>
      <c r="K14">
        <v>0.1290772461477451</v>
      </c>
      <c r="L14">
        <v>2.2690499462226885</v>
      </c>
      <c r="M14">
        <v>0.48335008577112409</v>
      </c>
      <c r="O14">
        <f t="shared" si="1"/>
        <v>0.62092509650769112</v>
      </c>
      <c r="P14">
        <f t="shared" si="2"/>
        <v>2.3489305435566172</v>
      </c>
      <c r="Q14">
        <f t="shared" si="3"/>
        <v>0.53256671452030591</v>
      </c>
      <c r="S14">
        <v>4.2022875370445554E-3</v>
      </c>
      <c r="T14">
        <v>1.7044676588307561E-3</v>
      </c>
      <c r="U14">
        <v>0.14137164665552987</v>
      </c>
      <c r="W14">
        <f t="shared" ref="W14:W22" si="7">(O14^2+S14^2)^0.5</f>
        <v>0.62093931643408562</v>
      </c>
      <c r="X14">
        <f t="shared" si="4"/>
        <v>1.3668931090934611</v>
      </c>
      <c r="Y14">
        <f t="shared" si="5"/>
        <v>0.55101111412842574</v>
      </c>
      <c r="Z14">
        <f>0.00000776/(60/Test!G14)*100</f>
        <v>2.5062699367999999E-2</v>
      </c>
      <c r="AB14">
        <f t="shared" si="6"/>
        <v>1.5994385868714929</v>
      </c>
    </row>
    <row r="15" spans="1:28">
      <c r="A15" s="12" t="s">
        <v>58</v>
      </c>
      <c r="B15" s="12"/>
      <c r="C15" s="12"/>
      <c r="D15" s="12"/>
      <c r="E15" s="14">
        <v>0</v>
      </c>
      <c r="F15" s="15" t="s">
        <v>49</v>
      </c>
      <c r="K15">
        <v>0.12550977061859897</v>
      </c>
      <c r="L15">
        <v>1.8384846159121973</v>
      </c>
      <c r="M15">
        <v>0.40369322134950325</v>
      </c>
      <c r="O15">
        <f t="shared" si="1"/>
        <v>0.62019331060624427</v>
      </c>
      <c r="P15">
        <f t="shared" si="2"/>
        <v>1.9362109190234982</v>
      </c>
      <c r="Q15">
        <f t="shared" si="3"/>
        <v>0.46148479602641196</v>
      </c>
      <c r="S15">
        <v>4.5183888119549867E-3</v>
      </c>
      <c r="T15">
        <v>1.6734773377611062E-3</v>
      </c>
      <c r="U15">
        <v>0.10498281165554672</v>
      </c>
      <c r="W15">
        <f t="shared" si="7"/>
        <v>0.62020976964103802</v>
      </c>
      <c r="X15">
        <f t="shared" si="4"/>
        <v>1.1942596757517803</v>
      </c>
      <c r="Y15">
        <f t="shared" si="5"/>
        <v>0.47327540365694371</v>
      </c>
      <c r="Z15">
        <f>0.00000776/(60/Test!G15)*100</f>
        <v>2.4886779003999999E-2</v>
      </c>
      <c r="AB15">
        <f t="shared" si="6"/>
        <v>1.4267183642754353</v>
      </c>
    </row>
    <row r="16" spans="1:28">
      <c r="A16" s="16" t="s">
        <v>59</v>
      </c>
      <c r="B16" s="17"/>
      <c r="C16" s="17"/>
      <c r="D16" s="17"/>
      <c r="E16" s="17">
        <v>100000</v>
      </c>
      <c r="F16" s="18" t="s">
        <v>51</v>
      </c>
      <c r="K16">
        <v>0.12379395330943074</v>
      </c>
      <c r="L16">
        <v>1.2316770773379968</v>
      </c>
      <c r="M16">
        <v>0.3899920875404228</v>
      </c>
      <c r="O16">
        <f t="shared" si="1"/>
        <v>0.61984835474168798</v>
      </c>
      <c r="P16">
        <f t="shared" si="2"/>
        <v>1.373286373208396</v>
      </c>
      <c r="Q16">
        <f t="shared" si="3"/>
        <v>0.44954847162918576</v>
      </c>
      <c r="S16">
        <v>3.3407566113082825E-3</v>
      </c>
      <c r="T16">
        <v>1.9895786126715377E-3</v>
      </c>
      <c r="U16">
        <v>9.5536961793517367E-2</v>
      </c>
      <c r="W16">
        <f t="shared" si="7"/>
        <v>0.61985735740629344</v>
      </c>
      <c r="X16">
        <f t="shared" si="4"/>
        <v>0.98005510865303691</v>
      </c>
      <c r="Y16">
        <f t="shared" si="5"/>
        <v>0.45958801051906567</v>
      </c>
      <c r="Z16">
        <f>0.00000776/(60/Test!G16)*100</f>
        <v>2.4763688461333335E-2</v>
      </c>
      <c r="AB16">
        <f t="shared" si="6"/>
        <v>1.2476239574514079</v>
      </c>
    </row>
    <row r="17" spans="1:28">
      <c r="A17" s="19" t="s">
        <v>60</v>
      </c>
      <c r="B17" s="12"/>
      <c r="C17" s="12"/>
      <c r="D17" s="12"/>
      <c r="E17" s="20">
        <f>100000-E10-E23</f>
        <v>99265.504993925671</v>
      </c>
      <c r="F17" s="21" t="s">
        <v>51</v>
      </c>
      <c r="K17">
        <v>0.12196692373853776</v>
      </c>
      <c r="L17">
        <v>0.49439189273271444</v>
      </c>
      <c r="M17">
        <v>0.38555915264076585</v>
      </c>
      <c r="O17">
        <f t="shared" si="1"/>
        <v>0.61948605350422725</v>
      </c>
      <c r="P17">
        <f t="shared" si="2"/>
        <v>0.78314135607809388</v>
      </c>
      <c r="Q17">
        <f t="shared" si="3"/>
        <v>0.44570826802412516</v>
      </c>
      <c r="S17">
        <v>4.0845243169798859E-3</v>
      </c>
      <c r="T17">
        <v>3.1052301711789413E-3</v>
      </c>
      <c r="U17">
        <v>7.9713303855354023E-2</v>
      </c>
      <c r="W17">
        <f t="shared" si="7"/>
        <v>0.61949951882559062</v>
      </c>
      <c r="X17">
        <f t="shared" si="4"/>
        <v>0.80147515882793741</v>
      </c>
      <c r="Y17">
        <f t="shared" si="5"/>
        <v>0.45278037832552043</v>
      </c>
      <c r="Z17">
        <f>0.00000776/(60/Test!G17)*100</f>
        <v>2.4591056009333333E-2</v>
      </c>
      <c r="AB17">
        <f t="shared" si="6"/>
        <v>1.1098454284609462</v>
      </c>
    </row>
    <row r="18" spans="1:28">
      <c r="A18" s="22" t="s">
        <v>61</v>
      </c>
      <c r="B18" s="23"/>
      <c r="C18" s="23"/>
      <c r="D18" s="23"/>
      <c r="E18" s="24">
        <f>1-(0.351+0.256*E13^4+0.93*E13^8)*(1-(E17/E16)^(1/1.4))</f>
        <v>0.99746201615938335</v>
      </c>
      <c r="F18" s="25"/>
      <c r="K18">
        <v>0.12134903095358505</v>
      </c>
      <c r="L18">
        <v>0.24351034897912446</v>
      </c>
      <c r="M18">
        <v>0.38656936610561166</v>
      </c>
      <c r="O18">
        <f t="shared" si="1"/>
        <v>0.61936469653458148</v>
      </c>
      <c r="P18">
        <f t="shared" si="2"/>
        <v>0.65435795254580276</v>
      </c>
      <c r="Q18">
        <f t="shared" si="3"/>
        <v>0.44658243898668298</v>
      </c>
      <c r="S18">
        <v>2.9006940521192509E-3</v>
      </c>
      <c r="T18">
        <v>6.142281636004652E-3</v>
      </c>
      <c r="U18">
        <v>7.0676526231444048E-2</v>
      </c>
      <c r="W18">
        <f t="shared" si="7"/>
        <v>0.61937148896228522</v>
      </c>
      <c r="X18">
        <f t="shared" si="4"/>
        <v>0.77208095560153034</v>
      </c>
      <c r="Y18">
        <f t="shared" si="5"/>
        <v>0.45214051595874311</v>
      </c>
      <c r="Z18">
        <f>0.00000776/(60/Test!G18)*100</f>
        <v>2.4461639385333332E-2</v>
      </c>
      <c r="AB18">
        <f t="shared" si="6"/>
        <v>1.0884665641694222</v>
      </c>
    </row>
    <row r="19" spans="1:28">
      <c r="A19" t="s">
        <v>62</v>
      </c>
      <c r="C19" t="s">
        <v>6</v>
      </c>
      <c r="E19" s="26">
        <f>0.5961+0.0261*E13^2-0.216*E13^8+0.000521*(1000000*E13/E8)^0.7+(0.0188+0.0063*((19000*E13/E8)^0.8))*E13^3.5*(1000000/E8)^0.3+(0.043+0.08*EXP(-10*E14/E12)-0.123*EXP(-7*E14/E12))*(1-0.11*(19000*E13/E8)^0.8)*(E13^4/(1-E13^4))-0.031*(2*(E15/E12)/(1-E13)-0.8*((2*(E15/E12)/(1-E13))^1.1))*E13^1.3</f>
        <v>0.65591154544352426</v>
      </c>
      <c r="K19">
        <v>0.12227086752087052</v>
      </c>
      <c r="L19">
        <v>0.145198246250302</v>
      </c>
      <c r="M19">
        <v>0.38822877013335422</v>
      </c>
      <c r="O19">
        <f t="shared" si="1"/>
        <v>0.61954596685339358</v>
      </c>
      <c r="P19">
        <f t="shared" si="2"/>
        <v>0.62447543643778602</v>
      </c>
      <c r="Q19">
        <f t="shared" si="3"/>
        <v>0.44801961782856875</v>
      </c>
      <c r="S19">
        <v>2.5226121350695194E-3</v>
      </c>
      <c r="T19">
        <v>8.714478284785613E-3</v>
      </c>
      <c r="U19">
        <v>6.7366759941205417E-2</v>
      </c>
      <c r="W19">
        <f t="shared" si="7"/>
        <v>0.61955110250591139</v>
      </c>
      <c r="X19">
        <f t="shared" si="4"/>
        <v>0.76589393957271223</v>
      </c>
      <c r="Y19">
        <f t="shared" si="5"/>
        <v>0.45305613151598861</v>
      </c>
      <c r="Z19">
        <f>0.00000776/(60/Test!G19)*100</f>
        <v>2.4386399201333332E-2</v>
      </c>
      <c r="AB19">
        <f t="shared" si="6"/>
        <v>1.084569799533778</v>
      </c>
    </row>
    <row r="20" spans="1:28">
      <c r="A20" t="s">
        <v>63</v>
      </c>
      <c r="E20" s="27">
        <f>+E19*((PI()/4)*E9^2*(2*E10*E11)^0.5)/((1-E13^4)^0.5)</f>
        <v>0.96339995990915284</v>
      </c>
      <c r="F20" t="s">
        <v>64</v>
      </c>
      <c r="K20">
        <v>0.12574819596656248</v>
      </c>
      <c r="L20">
        <v>0.11911706217999397</v>
      </c>
      <c r="M20">
        <v>0.38891111189414124</v>
      </c>
      <c r="O20">
        <f t="shared" si="1"/>
        <v>0.62024160517402005</v>
      </c>
      <c r="P20">
        <f t="shared" si="2"/>
        <v>0.6189312679953991</v>
      </c>
      <c r="Q20">
        <f t="shared" si="3"/>
        <v>0.44861102634101324</v>
      </c>
      <c r="S20">
        <v>4.5121907477410567E-3</v>
      </c>
      <c r="T20">
        <v>6.2476487276414625E-3</v>
      </c>
      <c r="U20">
        <v>6.7651870895046193E-2</v>
      </c>
      <c r="W20">
        <f t="shared" si="7"/>
        <v>0.6202580178072582</v>
      </c>
      <c r="X20">
        <f t="shared" si="4"/>
        <v>0.76474388105045654</v>
      </c>
      <c r="Y20">
        <f t="shared" si="5"/>
        <v>0.45368340127266865</v>
      </c>
      <c r="Z20">
        <f>0.00000776/(60/Test!G20)*100</f>
        <v>2.4361053230666667E-2</v>
      </c>
      <c r="AB20">
        <f t="shared" si="6"/>
        <v>1.084423949275904</v>
      </c>
    </row>
    <row r="21" spans="1:28">
      <c r="E21" s="26">
        <f>+E20/1.2</f>
        <v>0.80283329992429409</v>
      </c>
      <c r="F21" t="s">
        <v>38</v>
      </c>
      <c r="K21">
        <v>0.12963946138871693</v>
      </c>
      <c r="L21">
        <v>0.11326524052527165</v>
      </c>
      <c r="M21">
        <v>0.38914698673204012</v>
      </c>
      <c r="O21">
        <f t="shared" si="1"/>
        <v>0.62104221269504423</v>
      </c>
      <c r="P21">
        <f t="shared" si="2"/>
        <v>0.61783173656849943</v>
      </c>
      <c r="Q21">
        <f t="shared" si="3"/>
        <v>0.44881552700706179</v>
      </c>
      <c r="S21">
        <v>2.981268886900341E-3</v>
      </c>
      <c r="T21">
        <v>7.1091796533777367E-3</v>
      </c>
      <c r="U21">
        <v>6.8414232793359592E-2</v>
      </c>
      <c r="W21">
        <f t="shared" si="7"/>
        <v>0.62104936833824453</v>
      </c>
      <c r="X21">
        <f t="shared" si="4"/>
        <v>0.76452910080457281</v>
      </c>
      <c r="Y21">
        <f t="shared" si="5"/>
        <v>0.45399987283184412</v>
      </c>
      <c r="Z21">
        <f>0.00000776/(60/Test!G21)*100</f>
        <v>2.4346389675999999E-2</v>
      </c>
      <c r="AB21">
        <f t="shared" si="6"/>
        <v>1.0848574538214537</v>
      </c>
    </row>
    <row r="22" spans="1:28">
      <c r="E22" s="28">
        <f>+E21*3600</f>
        <v>2890.1998797274587</v>
      </c>
      <c r="F22" t="s">
        <v>65</v>
      </c>
      <c r="K22">
        <v>0.13998318585896896</v>
      </c>
      <c r="L22">
        <v>0.1109815950078534</v>
      </c>
      <c r="M22">
        <v>0.38925377622546387</v>
      </c>
      <c r="O22">
        <f t="shared" si="1"/>
        <v>0.62328350878490812</v>
      </c>
      <c r="P22">
        <f t="shared" si="2"/>
        <v>0.61741716402322933</v>
      </c>
      <c r="Q22">
        <f t="shared" si="3"/>
        <v>0.44890812234329591</v>
      </c>
      <c r="S22">
        <v>2.9378824374028311E-3</v>
      </c>
      <c r="T22">
        <v>5.6650306915320414E-3</v>
      </c>
      <c r="U22">
        <v>6.9486497902369479E-2</v>
      </c>
      <c r="W22">
        <f t="shared" si="7"/>
        <v>0.62329043268482998</v>
      </c>
      <c r="X22">
        <f t="shared" si="4"/>
        <v>0.76443330189379533</v>
      </c>
      <c r="Y22">
        <f t="shared" si="5"/>
        <v>0.45425419722498933</v>
      </c>
      <c r="Z22">
        <f>0.00000776/(60/Test!G22)*100</f>
        <v>2.4343906476000002E-2</v>
      </c>
      <c r="AB22">
        <f t="shared" si="6"/>
        <v>1.0861808035496323</v>
      </c>
    </row>
    <row r="23" spans="1:28">
      <c r="A23" t="s">
        <v>66</v>
      </c>
      <c r="E23" s="29">
        <f>+E10*(1-B32^1.9)</f>
        <v>234.49500607433242</v>
      </c>
      <c r="F23" t="s">
        <v>51</v>
      </c>
    </row>
    <row r="25" spans="1:28">
      <c r="A25" s="30" t="s">
        <v>67</v>
      </c>
      <c r="B25" s="17"/>
      <c r="C25" s="17"/>
      <c r="D25" s="17"/>
      <c r="E25" s="18"/>
      <c r="K25">
        <v>0.12327646302191268</v>
      </c>
      <c r="L25">
        <v>2.273695700909637</v>
      </c>
      <c r="M25">
        <v>0.53513735351767711</v>
      </c>
      <c r="O25">
        <f t="shared" si="1"/>
        <v>0.61974521082069933</v>
      </c>
      <c r="P25">
        <f t="shared" si="2"/>
        <v>2.3534186156174948</v>
      </c>
      <c r="Q25">
        <f t="shared" si="3"/>
        <v>0.57997585047129618</v>
      </c>
      <c r="S25">
        <v>3.7002443357162232E-3</v>
      </c>
      <c r="T25">
        <v>1.6734773377611062E-3</v>
      </c>
      <c r="U25">
        <v>0.10720171864413368</v>
      </c>
      <c r="W25">
        <f t="shared" ref="W25:W63" si="8">(O25^2+S25^2)^0.5</f>
        <v>0.61975625704250625</v>
      </c>
      <c r="X25">
        <f t="shared" si="4"/>
        <v>1.3688216784789879</v>
      </c>
      <c r="Y25">
        <f t="shared" si="5"/>
        <v>0.58980013191771952</v>
      </c>
      <c r="Z25">
        <f>0.00000776/(60/Test!G25)*100</f>
        <v>2.3088640469333337E-2</v>
      </c>
      <c r="AB25">
        <f t="shared" si="6"/>
        <v>1.6143629971435334</v>
      </c>
    </row>
    <row r="26" spans="1:28">
      <c r="A26" s="19" t="s">
        <v>68</v>
      </c>
      <c r="B26" s="12">
        <f>(1.667*E13-0.5)/100*B27</f>
        <v>4.5565081876052559E-3</v>
      </c>
      <c r="C26" s="31">
        <f>+B26/B27</f>
        <v>6.9468333333333335E-3</v>
      </c>
      <c r="D26" s="12"/>
      <c r="E26" s="21"/>
      <c r="K26">
        <v>0.12159337135599239</v>
      </c>
      <c r="L26">
        <v>1.9096529304405774</v>
      </c>
      <c r="M26">
        <v>0.42952257246591563</v>
      </c>
      <c r="O26">
        <f t="shared" si="1"/>
        <v>0.61941261527169134</v>
      </c>
      <c r="P26">
        <f t="shared" si="2"/>
        <v>2.0039115137002144</v>
      </c>
      <c r="Q26">
        <f t="shared" si="3"/>
        <v>0.48424130375024577</v>
      </c>
      <c r="S26">
        <v>3.8613940052784042E-3</v>
      </c>
      <c r="T26">
        <v>1.6672792735471763E-3</v>
      </c>
      <c r="U26">
        <v>8.3971373970323934E-2</v>
      </c>
      <c r="W26">
        <f t="shared" si="8"/>
        <v>0.61942465104432221</v>
      </c>
      <c r="X26">
        <f t="shared" si="4"/>
        <v>1.2218605936722651</v>
      </c>
      <c r="Y26">
        <f t="shared" si="5"/>
        <v>0.49146803752044932</v>
      </c>
      <c r="Z26">
        <f>0.00000776/(60/Test!G26)*100</f>
        <v>2.2970413506666666E-2</v>
      </c>
      <c r="AB26">
        <f t="shared" si="6"/>
        <v>1.4555750343047895</v>
      </c>
    </row>
    <row r="27" spans="1:28">
      <c r="A27" s="19" t="s">
        <v>6</v>
      </c>
      <c r="B27" s="32">
        <f>+E19</f>
        <v>0.65591154544352426</v>
      </c>
      <c r="C27" s="12"/>
      <c r="D27" s="12">
        <f>+(B26/B27)^2</f>
        <v>4.8258493361111111E-5</v>
      </c>
      <c r="E27" s="33">
        <f>+D27/$D$41</f>
        <v>6.8614460501806342E-3</v>
      </c>
      <c r="K27">
        <v>0.12136652576751016</v>
      </c>
      <c r="L27">
        <v>1.3375644768259121</v>
      </c>
      <c r="M27">
        <v>0.39967073377801043</v>
      </c>
      <c r="O27">
        <f t="shared" si="1"/>
        <v>0.61936812444367495</v>
      </c>
      <c r="P27">
        <f t="shared" si="2"/>
        <v>1.4690016234390539</v>
      </c>
      <c r="Q27">
        <f t="shared" si="3"/>
        <v>0.45797019055682359</v>
      </c>
      <c r="S27">
        <v>4.5865675183082164E-3</v>
      </c>
      <c r="T27">
        <v>1.7974386220397064E-3</v>
      </c>
      <c r="U27">
        <v>7.8994328406538139E-2</v>
      </c>
      <c r="W27">
        <f t="shared" si="8"/>
        <v>0.61938510651974488</v>
      </c>
      <c r="X27">
        <f t="shared" si="4"/>
        <v>1.0141596842046803</v>
      </c>
      <c r="Y27">
        <f t="shared" si="5"/>
        <v>0.46473304095905782</v>
      </c>
      <c r="Z27">
        <f>0.00000776/(60/Test!G27)*100</f>
        <v>2.2882658382666669E-2</v>
      </c>
      <c r="AB27">
        <f t="shared" si="6"/>
        <v>1.2761889321955131</v>
      </c>
    </row>
    <row r="28" spans="1:28">
      <c r="A28" s="19" t="s">
        <v>69</v>
      </c>
      <c r="B28" s="12">
        <f>0.1/1000</f>
        <v>1E-4</v>
      </c>
      <c r="C28" s="31">
        <f>+B28/B29</f>
        <v>3.3333333333333338E-4</v>
      </c>
      <c r="D28" s="12"/>
      <c r="E28" s="21"/>
      <c r="K28">
        <v>0.12218892168159175</v>
      </c>
      <c r="L28">
        <v>0.63418484605571135</v>
      </c>
      <c r="M28">
        <v>0.38860236579544533</v>
      </c>
      <c r="O28">
        <f t="shared" si="1"/>
        <v>0.61952979959135956</v>
      </c>
      <c r="P28">
        <f t="shared" si="2"/>
        <v>0.87811016334324832</v>
      </c>
      <c r="Q28">
        <f t="shared" si="3"/>
        <v>0.448343393730539</v>
      </c>
      <c r="S28">
        <v>2.8325153457660207E-3</v>
      </c>
      <c r="T28">
        <v>2.5598005203530992E-3</v>
      </c>
      <c r="U28">
        <v>7.3540031898279734E-2</v>
      </c>
      <c r="W28">
        <f t="shared" si="8"/>
        <v>0.61953627474498552</v>
      </c>
      <c r="X28">
        <f t="shared" si="4"/>
        <v>0.82571248578683443</v>
      </c>
      <c r="Y28">
        <f t="shared" si="5"/>
        <v>0.45433460686306643</v>
      </c>
      <c r="Z28">
        <f>0.00000776/(60/Test!G28)*100</f>
        <v>2.2777698821333334E-2</v>
      </c>
      <c r="AB28">
        <f t="shared" si="6"/>
        <v>1.1280802557735774</v>
      </c>
    </row>
    <row r="29" spans="1:28">
      <c r="A29" s="19" t="s">
        <v>55</v>
      </c>
      <c r="B29" s="12">
        <f>+E12</f>
        <v>0.3</v>
      </c>
      <c r="C29" s="12"/>
      <c r="D29" s="12">
        <f>+(2*B32^4/(1-B32^4))^2*(B28/B29)^2</f>
        <v>5.7063606807607283E-8</v>
      </c>
      <c r="E29" s="33">
        <f>+D29/$D$41</f>
        <v>8.113366834917345E-6</v>
      </c>
      <c r="K29">
        <v>0.12476337727331653</v>
      </c>
      <c r="L29">
        <v>0.28564117674342293</v>
      </c>
      <c r="M29">
        <v>0.3857389385689321</v>
      </c>
      <c r="O29">
        <f t="shared" si="1"/>
        <v>0.6200426923274267</v>
      </c>
      <c r="P29">
        <f t="shared" si="2"/>
        <v>0.67117652063474875</v>
      </c>
      <c r="Q29">
        <f t="shared" si="3"/>
        <v>0.44586380064800774</v>
      </c>
      <c r="S29">
        <v>3.539094666154043E-3</v>
      </c>
      <c r="T29">
        <v>3.7002443357162232E-3</v>
      </c>
      <c r="U29">
        <v>6.1305053139981858E-2</v>
      </c>
      <c r="W29">
        <f t="shared" si="8"/>
        <v>0.62005279251020218</v>
      </c>
      <c r="X29">
        <f t="shared" si="4"/>
        <v>0.77566640002959941</v>
      </c>
      <c r="Y29">
        <f t="shared" si="5"/>
        <v>0.45005870535829251</v>
      </c>
      <c r="Z29">
        <f>0.00000776/(60/Test!G29)*100</f>
        <v>2.2685460616000002E-2</v>
      </c>
      <c r="AB29">
        <f t="shared" si="6"/>
        <v>1.0905004805256717</v>
      </c>
    </row>
    <row r="30" spans="1:28">
      <c r="A30" s="19" t="s">
        <v>70</v>
      </c>
      <c r="B30" s="12">
        <f>2/100/1000</f>
        <v>2.0000000000000002E-5</v>
      </c>
      <c r="C30" s="31">
        <f>+B30/B31</f>
        <v>9.3023255813953496E-5</v>
      </c>
      <c r="D30" s="12"/>
      <c r="E30" s="21"/>
      <c r="K30">
        <v>0.13014422462423242</v>
      </c>
      <c r="L30">
        <v>0.1716214468149066</v>
      </c>
      <c r="M30">
        <v>0.38554097406312954</v>
      </c>
      <c r="O30">
        <f t="shared" si="1"/>
        <v>0.62114777565652013</v>
      </c>
      <c r="P30">
        <f t="shared" si="2"/>
        <v>0.63114258373749577</v>
      </c>
      <c r="Q30">
        <f t="shared" si="3"/>
        <v>0.44569254277085091</v>
      </c>
      <c r="S30">
        <v>3.4213314460893722E-3</v>
      </c>
      <c r="T30">
        <v>6.1856680855021627E-3</v>
      </c>
      <c r="U30">
        <v>6.1106715085136099E-2</v>
      </c>
      <c r="W30">
        <f t="shared" si="8"/>
        <v>0.62115719806817549</v>
      </c>
      <c r="X30">
        <f t="shared" si="4"/>
        <v>0.76723444565873544</v>
      </c>
      <c r="Y30">
        <f t="shared" si="5"/>
        <v>0.44986206031409537</v>
      </c>
      <c r="Z30">
        <f>0.00000776/(60/Test!G30)*100</f>
        <v>2.2641634334666667E-2</v>
      </c>
      <c r="AB30">
        <f t="shared" si="6"/>
        <v>1.0850684200697029</v>
      </c>
    </row>
    <row r="31" spans="1:28">
      <c r="A31" s="19" t="s">
        <v>48</v>
      </c>
      <c r="B31" s="12">
        <f>+E9</f>
        <v>0.215</v>
      </c>
      <c r="C31" s="12"/>
      <c r="D31" s="12">
        <f>+(2/(1-B32^4))^2*(B30/B31)^2</f>
        <v>6.3862682668512011E-8</v>
      </c>
      <c r="E31" s="33">
        <f>+D31/$D$41</f>
        <v>9.0800669733074332E-6</v>
      </c>
      <c r="K31">
        <v>0.1407195712063106</v>
      </c>
      <c r="L31">
        <v>0.1324752033559673</v>
      </c>
      <c r="M31">
        <v>0.38563779582176033</v>
      </c>
      <c r="O31">
        <f t="shared" si="1"/>
        <v>0.62344930645601648</v>
      </c>
      <c r="P31">
        <f t="shared" si="2"/>
        <v>0.62164034578219329</v>
      </c>
      <c r="Q31">
        <f t="shared" si="3"/>
        <v>0.44577629991540119</v>
      </c>
      <c r="S31">
        <v>3.539094666154043E-3</v>
      </c>
      <c r="T31">
        <v>6.669117094188705E-3</v>
      </c>
      <c r="U31">
        <v>6.2166584065718129E-2</v>
      </c>
      <c r="W31">
        <f t="shared" si="8"/>
        <v>0.62345935145087361</v>
      </c>
      <c r="X31">
        <f t="shared" si="4"/>
        <v>0.76529657575528176</v>
      </c>
      <c r="Y31">
        <f t="shared" si="5"/>
        <v>0.4500902062261139</v>
      </c>
      <c r="Z31">
        <f>0.00000776/(60/Test!G31)*100</f>
        <v>2.2622910877333337E-2</v>
      </c>
      <c r="AB31">
        <f t="shared" si="6"/>
        <v>1.0851144647508542</v>
      </c>
    </row>
    <row r="32" spans="1:28">
      <c r="A32" s="19" t="s">
        <v>71</v>
      </c>
      <c r="B32" s="12">
        <f>+B31/B29</f>
        <v>0.71666666666666667</v>
      </c>
      <c r="C32" s="12"/>
      <c r="D32" s="12"/>
      <c r="E32" s="21"/>
      <c r="K32">
        <v>0.14739273361499275</v>
      </c>
      <c r="L32">
        <v>0.12203900462522096</v>
      </c>
      <c r="M32">
        <v>0.38568839891456491</v>
      </c>
      <c r="O32">
        <f t="shared" si="1"/>
        <v>0.62498932624685699</v>
      </c>
      <c r="P32">
        <f t="shared" si="2"/>
        <v>0.61950024911206836</v>
      </c>
      <c r="Q32">
        <f t="shared" si="3"/>
        <v>0.44582007700111553</v>
      </c>
      <c r="S32">
        <v>2.8077230889103004E-3</v>
      </c>
      <c r="T32">
        <v>7.5430441483528383E-3</v>
      </c>
      <c r="U32">
        <v>6.2972332413529036E-2</v>
      </c>
      <c r="W32">
        <f t="shared" si="8"/>
        <v>0.62499563296989868</v>
      </c>
      <c r="X32">
        <f t="shared" si="4"/>
        <v>0.76487072701300007</v>
      </c>
      <c r="Y32">
        <f t="shared" si="5"/>
        <v>0.45024555045761483</v>
      </c>
      <c r="Z32">
        <f>0.00000776/(60/Test!G32)*100</f>
        <v>2.2617953401333334E-2</v>
      </c>
      <c r="AB32">
        <f t="shared" si="6"/>
        <v>1.085762127630074</v>
      </c>
    </row>
    <row r="33" spans="1:28">
      <c r="A33" s="19" t="s">
        <v>72</v>
      </c>
      <c r="B33" s="12">
        <v>0.29499999999999998</v>
      </c>
      <c r="C33" s="31">
        <f>+B33/B34</f>
        <v>5.8999999999999992E-4</v>
      </c>
      <c r="D33" s="12"/>
      <c r="E33" s="21"/>
      <c r="K33">
        <v>0.16051736872008465</v>
      </c>
      <c r="L33">
        <v>0.11307689333668686</v>
      </c>
      <c r="M33">
        <v>0.38570168986484321</v>
      </c>
      <c r="O33">
        <f t="shared" si="1"/>
        <v>0.62821402854506492</v>
      </c>
      <c r="P33">
        <f t="shared" si="2"/>
        <v>0.61779723518859853</v>
      </c>
      <c r="Q33">
        <f t="shared" si="3"/>
        <v>0.44583157533377521</v>
      </c>
      <c r="S33">
        <v>3.5638869230097633E-3</v>
      </c>
      <c r="T33">
        <v>5.8819629390195922E-3</v>
      </c>
      <c r="U33">
        <v>6.2420704698489253E-2</v>
      </c>
      <c r="W33">
        <f t="shared" si="8"/>
        <v>0.62822413751050632</v>
      </c>
      <c r="X33">
        <f t="shared" si="4"/>
        <v>0.76451170383688549</v>
      </c>
      <c r="Y33">
        <f t="shared" si="5"/>
        <v>0.45018011721937662</v>
      </c>
      <c r="Z33">
        <f>0.00000776/(60/Test!G33)*100</f>
        <v>2.2616386269333332E-2</v>
      </c>
      <c r="AB33">
        <f t="shared" si="6"/>
        <v>1.0873441732597515</v>
      </c>
    </row>
    <row r="34" spans="1:28">
      <c r="A34" s="19" t="s">
        <v>73</v>
      </c>
      <c r="B34" s="12">
        <f>+E10</f>
        <v>500</v>
      </c>
      <c r="C34" s="12"/>
      <c r="D34" s="12">
        <f>+(1/4)*(B33/B34)^2</f>
        <v>8.7024999999999974E-8</v>
      </c>
      <c r="E34" s="33">
        <f>+D34/$D$41</f>
        <v>1.2373310912316087E-5</v>
      </c>
    </row>
    <row r="35" spans="1:28">
      <c r="A35" s="19" t="s">
        <v>74</v>
      </c>
      <c r="B35" s="12">
        <f>+B36/500*1</f>
        <v>2.4100000000000002E-3</v>
      </c>
      <c r="C35" s="31">
        <f>+B35/B36</f>
        <v>2E-3</v>
      </c>
      <c r="D35" s="12"/>
      <c r="E35" s="21"/>
    </row>
    <row r="36" spans="1:28">
      <c r="A36" s="19" t="s">
        <v>52</v>
      </c>
      <c r="B36" s="12">
        <f>E11</f>
        <v>1.2050000000000001</v>
      </c>
      <c r="C36" s="12"/>
      <c r="D36" s="12">
        <f>+(1/4)*(B35/B36)^2</f>
        <v>9.9999999999999995E-7</v>
      </c>
      <c r="E36" s="33">
        <f>+D36/$D$41</f>
        <v>1.4218110786918804E-4</v>
      </c>
      <c r="K36">
        <v>0.1219806273222151</v>
      </c>
      <c r="L36">
        <v>2.2739604372134972</v>
      </c>
      <c r="M36">
        <v>0.60041045914255087</v>
      </c>
      <c r="O36">
        <f t="shared" si="1"/>
        <v>0.61948875166698636</v>
      </c>
      <c r="P36">
        <f t="shared" si="2"/>
        <v>2.3536743848740418</v>
      </c>
      <c r="Q36">
        <f t="shared" si="3"/>
        <v>0.64069705746769956</v>
      </c>
      <c r="S36">
        <v>4.7973017015818372E-3</v>
      </c>
      <c r="T36">
        <v>1.6300908882635962E-3</v>
      </c>
      <c r="U36">
        <v>6.1906265368733067E-2</v>
      </c>
      <c r="W36">
        <f t="shared" si="8"/>
        <v>0.61950732646639217</v>
      </c>
      <c r="X36">
        <f t="shared" si="4"/>
        <v>1.3689315638713451</v>
      </c>
      <c r="Y36">
        <f t="shared" si="5"/>
        <v>0.64368090319635296</v>
      </c>
      <c r="Z36">
        <f>0.00000776/(60/Test!G36)*100</f>
        <v>2.0921592181333333E-2</v>
      </c>
      <c r="AB36">
        <f t="shared" si="6"/>
        <v>1.6347861549046281</v>
      </c>
    </row>
    <row r="37" spans="1:28">
      <c r="A37" s="19" t="s">
        <v>75</v>
      </c>
      <c r="B37" s="12">
        <f>0.035*100/1.4/100000</f>
        <v>2.5000000000000005E-5</v>
      </c>
      <c r="C37" s="31">
        <f>+B37/B38</f>
        <v>2.5063611039806535E-5</v>
      </c>
      <c r="D37" s="12"/>
      <c r="E37" s="21"/>
      <c r="K37">
        <v>0.12484330135718549</v>
      </c>
      <c r="L37">
        <v>1.9458505557220751</v>
      </c>
      <c r="M37">
        <v>0.47076388161647614</v>
      </c>
      <c r="O37">
        <f t="shared" si="1"/>
        <v>0.62005877938608456</v>
      </c>
      <c r="P37">
        <f t="shared" si="2"/>
        <v>2.0384360243097914</v>
      </c>
      <c r="Q37">
        <f t="shared" si="3"/>
        <v>0.52117044451370376</v>
      </c>
      <c r="S37">
        <v>3.6630559504326437E-3</v>
      </c>
      <c r="T37">
        <v>1.6796754019750364E-3</v>
      </c>
      <c r="U37">
        <v>5.857170682163871E-2</v>
      </c>
      <c r="W37">
        <f t="shared" si="8"/>
        <v>0.62006959921661786</v>
      </c>
      <c r="X37">
        <f t="shared" si="4"/>
        <v>1.2360555689265453</v>
      </c>
      <c r="Y37">
        <f t="shared" si="5"/>
        <v>0.52445140582766248</v>
      </c>
      <c r="Z37">
        <f>0.00000776/(60/Test!G37)*100</f>
        <v>2.0842209192E-2</v>
      </c>
      <c r="AB37">
        <f t="shared" si="6"/>
        <v>1.4791224939488943</v>
      </c>
    </row>
    <row r="38" spans="1:28">
      <c r="A38" s="19" t="str">
        <f>+A18</f>
        <v>epsilon</v>
      </c>
      <c r="B38" s="32">
        <f>+E18</f>
        <v>0.99746201615938335</v>
      </c>
      <c r="C38" s="12"/>
      <c r="D38" s="12">
        <f>+(B37/B38)^2</f>
        <v>6.2818459835471203E-10</v>
      </c>
      <c r="E38" s="33">
        <f>+D38/$D$41</f>
        <v>8.9315982140433885E-8</v>
      </c>
      <c r="K38">
        <v>0.12837759132245258</v>
      </c>
      <c r="L38">
        <v>1.4109819167076445</v>
      </c>
      <c r="M38">
        <v>0.42272179247682462</v>
      </c>
      <c r="O38">
        <f t="shared" si="1"/>
        <v>0.62078003024723227</v>
      </c>
      <c r="P38">
        <f t="shared" si="2"/>
        <v>1.5361500607935341</v>
      </c>
      <c r="Q38">
        <f t="shared" si="3"/>
        <v>0.47821931562288406</v>
      </c>
      <c r="S38">
        <v>3.5019062808704627E-3</v>
      </c>
      <c r="T38">
        <v>1.8904095852486571E-3</v>
      </c>
      <c r="U38">
        <v>6.2209970515215644E-2</v>
      </c>
      <c r="W38">
        <f t="shared" si="8"/>
        <v>0.62078990753825458</v>
      </c>
      <c r="X38">
        <f t="shared" si="4"/>
        <v>1.0387338532228974</v>
      </c>
      <c r="Y38">
        <f t="shared" si="5"/>
        <v>0.4822486850851162</v>
      </c>
      <c r="Z38">
        <f>0.00000776/(60/Test!G38)*100</f>
        <v>2.0785310932000003E-2</v>
      </c>
      <c r="AB38">
        <f t="shared" si="6"/>
        <v>1.3028215344203926</v>
      </c>
    </row>
    <row r="39" spans="1:28">
      <c r="A39" s="19"/>
      <c r="B39" s="12"/>
      <c r="C39" s="12"/>
      <c r="D39" s="12"/>
      <c r="E39" s="21"/>
      <c r="K39">
        <v>0.13421549700569546</v>
      </c>
      <c r="L39">
        <v>0.74360072628604246</v>
      </c>
      <c r="M39">
        <v>0.39807219925477411</v>
      </c>
      <c r="O39">
        <f t="shared" si="1"/>
        <v>0.62201353653798075</v>
      </c>
      <c r="P39">
        <f t="shared" si="2"/>
        <v>0.96011930515594257</v>
      </c>
      <c r="Q39">
        <f t="shared" si="3"/>
        <v>0.45657581606950293</v>
      </c>
      <c r="S39">
        <v>2.5350082634973789E-3</v>
      </c>
      <c r="T39">
        <v>2.2932837591541082E-3</v>
      </c>
      <c r="U39">
        <v>6.9486497902369479E-2</v>
      </c>
      <c r="W39">
        <f t="shared" si="8"/>
        <v>0.62201870221351219</v>
      </c>
      <c r="X39">
        <f t="shared" si="4"/>
        <v>0.84822622044332907</v>
      </c>
      <c r="Y39">
        <f t="shared" si="5"/>
        <v>0.46183314000867082</v>
      </c>
      <c r="Z39">
        <f>0.00000776/(60/Test!G39)*100</f>
        <v>2.0719886630666672E-2</v>
      </c>
      <c r="AB39">
        <f t="shared" si="6"/>
        <v>1.1489622055852027</v>
      </c>
    </row>
    <row r="40" spans="1:28">
      <c r="A40" s="19"/>
      <c r="B40" s="12"/>
      <c r="C40" s="12"/>
      <c r="D40" s="12"/>
      <c r="E40" s="21"/>
      <c r="K40">
        <v>0.14293655221912396</v>
      </c>
      <c r="L40">
        <v>0.35039224874447561</v>
      </c>
      <c r="M40">
        <v>0.39029023869391233</v>
      </c>
      <c r="O40">
        <f t="shared" si="1"/>
        <v>0.62395344214155146</v>
      </c>
      <c r="P40">
        <f t="shared" si="2"/>
        <v>0.70118597246394654</v>
      </c>
      <c r="Q40">
        <f t="shared" si="3"/>
        <v>0.44980714803096566</v>
      </c>
      <c r="S40">
        <v>3.3779449965918628E-3</v>
      </c>
      <c r="T40">
        <v>3.9233746474177048E-3</v>
      </c>
      <c r="U40">
        <v>7.9428192901513234E-2</v>
      </c>
      <c r="W40">
        <f t="shared" si="8"/>
        <v>0.62396258579556707</v>
      </c>
      <c r="X40">
        <f t="shared" si="4"/>
        <v>0.78227618315245229</v>
      </c>
      <c r="Y40">
        <f t="shared" si="5"/>
        <v>0.45676614174799673</v>
      </c>
      <c r="Z40">
        <f>0.00000776/(60/Test!G40)*100</f>
        <v>2.0666008692000002E-2</v>
      </c>
      <c r="AB40">
        <f t="shared" si="6"/>
        <v>1.1001580465382546</v>
      </c>
    </row>
    <row r="41" spans="1:28">
      <c r="A41" s="34" t="s">
        <v>76</v>
      </c>
      <c r="B41" s="23"/>
      <c r="C41" s="23"/>
      <c r="D41" s="35">
        <f>+(D27+D29+D31+D34+D36+D38)^0.5</f>
        <v>7.0332832187525044E-3</v>
      </c>
      <c r="E41" s="36"/>
      <c r="K41">
        <v>0.15617781742988854</v>
      </c>
      <c r="L41">
        <v>0.20107742608391815</v>
      </c>
      <c r="M41">
        <v>0.38815830808342716</v>
      </c>
      <c r="O41">
        <f t="shared" si="1"/>
        <v>0.62711924755756265</v>
      </c>
      <c r="P41">
        <f t="shared" si="2"/>
        <v>0.63978056494436719</v>
      </c>
      <c r="Q41">
        <f t="shared" si="3"/>
        <v>0.44795856073323209</v>
      </c>
      <c r="S41">
        <v>3.0742398501092914E-3</v>
      </c>
      <c r="T41">
        <v>5.3427313524076784E-3</v>
      </c>
      <c r="U41">
        <v>8.527296745524926E-2</v>
      </c>
      <c r="W41">
        <f t="shared" si="8"/>
        <v>0.62712678272245681</v>
      </c>
      <c r="X41">
        <f t="shared" si="4"/>
        <v>0.769014648405562</v>
      </c>
      <c r="Y41">
        <f t="shared" si="5"/>
        <v>0.45600257796728821</v>
      </c>
      <c r="Z41">
        <f>0.00000776/(60/Test!G41)*100</f>
        <v>2.0637016944000001E-2</v>
      </c>
      <c r="AB41">
        <f t="shared" si="6"/>
        <v>1.0922617674583823</v>
      </c>
    </row>
    <row r="42" spans="1:28">
      <c r="K42">
        <v>0.16683797668108191</v>
      </c>
      <c r="L42">
        <v>0.16084307366389131</v>
      </c>
      <c r="M42">
        <v>0.38768653496537075</v>
      </c>
      <c r="O42">
        <f t="shared" si="1"/>
        <v>0.62985867499228521</v>
      </c>
      <c r="P42">
        <f t="shared" si="2"/>
        <v>0.62829732957068019</v>
      </c>
      <c r="Q42">
        <f t="shared" si="3"/>
        <v>0.44754982895031437</v>
      </c>
      <c r="S42">
        <v>3.5081043450843935E-3</v>
      </c>
      <c r="T42">
        <v>6.0555087370096315E-3</v>
      </c>
      <c r="U42">
        <v>8.1721476660667342E-2</v>
      </c>
      <c r="W42">
        <f t="shared" si="8"/>
        <v>0.62986844440655476</v>
      </c>
      <c r="X42">
        <f t="shared" si="4"/>
        <v>0.76664936224871971</v>
      </c>
      <c r="Y42">
        <f t="shared" si="5"/>
        <v>0.45494972155289387</v>
      </c>
      <c r="Z42">
        <f>0.00000776/(60/Test!G42)*100</f>
        <v>2.0629659558666667E-2</v>
      </c>
      <c r="AB42">
        <f t="shared" si="6"/>
        <v>1.0917373007688544</v>
      </c>
    </row>
    <row r="43" spans="1:28">
      <c r="A43" t="s">
        <v>77</v>
      </c>
      <c r="K43">
        <v>0.17435564382418922</v>
      </c>
      <c r="L43">
        <v>0.14436073273064384</v>
      </c>
      <c r="M43">
        <v>0.38749884103117505</v>
      </c>
      <c r="O43">
        <f t="shared" si="1"/>
        <v>0.6318915496612908</v>
      </c>
      <c r="P43">
        <f t="shared" si="2"/>
        <v>0.62428123562584226</v>
      </c>
      <c r="Q43">
        <f t="shared" si="3"/>
        <v>0.44738725037768329</v>
      </c>
      <c r="S43">
        <v>3.1548146848903815E-3</v>
      </c>
      <c r="T43">
        <v>6.5451558099101047E-3</v>
      </c>
      <c r="U43">
        <v>8.0630617359015666E-2</v>
      </c>
      <c r="W43">
        <f t="shared" si="8"/>
        <v>0.63189942505832641</v>
      </c>
      <c r="X43">
        <f t="shared" si="4"/>
        <v>0.76583274689523473</v>
      </c>
      <c r="Y43">
        <f t="shared" si="5"/>
        <v>0.45459503765021442</v>
      </c>
      <c r="Z43">
        <f>0.00000776/(60/Test!G43)*100</f>
        <v>2.0624864654666668E-2</v>
      </c>
      <c r="AB43">
        <f t="shared" si="6"/>
        <v>1.0921898703542197</v>
      </c>
    </row>
    <row r="44" spans="1:28">
      <c r="A44" s="5" t="s">
        <v>78</v>
      </c>
      <c r="B44" s="2">
        <v>0.2</v>
      </c>
      <c r="K44">
        <v>0.19424914277571836</v>
      </c>
      <c r="L44">
        <v>0.12528837855720884</v>
      </c>
      <c r="M44">
        <v>0.3874390738606418</v>
      </c>
      <c r="O44">
        <f t="shared" si="1"/>
        <v>0.63766744426001665</v>
      </c>
      <c r="P44">
        <f t="shared" si="2"/>
        <v>0.62014854494830063</v>
      </c>
      <c r="Q44">
        <f t="shared" si="3"/>
        <v>0.44733548479188623</v>
      </c>
      <c r="S44">
        <v>3.8675920694923342E-3</v>
      </c>
      <c r="T44">
        <v>6.7372958005419339E-3</v>
      </c>
      <c r="U44">
        <v>8.1789655367020583E-2</v>
      </c>
      <c r="W44">
        <f t="shared" si="8"/>
        <v>0.63767917304669552</v>
      </c>
      <c r="X44">
        <f t="shared" si="4"/>
        <v>0.76499453427391906</v>
      </c>
      <c r="Y44">
        <f t="shared" si="5"/>
        <v>0.45475112279031032</v>
      </c>
      <c r="Z44">
        <f>0.00000776/(60/Test!G44)*100</f>
        <v>2.0624012994666669E-2</v>
      </c>
      <c r="AB44">
        <f t="shared" si="6"/>
        <v>1.0950229672465961</v>
      </c>
    </row>
    <row r="45" spans="1:28">
      <c r="A45" s="37" t="s">
        <v>79</v>
      </c>
      <c r="B45" s="2">
        <v>9.7999999999999997E-3</v>
      </c>
    </row>
    <row r="46" spans="1:28">
      <c r="A46" s="37" t="s">
        <v>80</v>
      </c>
      <c r="B46" s="2">
        <f>(B45^2+B44^2)^0.5</f>
        <v>0.2002399560527319</v>
      </c>
    </row>
    <row r="47" spans="1:28">
      <c r="A47" s="37" t="s">
        <v>81</v>
      </c>
      <c r="B47" s="2">
        <f>0.01</f>
        <v>0.01</v>
      </c>
      <c r="K47">
        <v>0.13043637664507898</v>
      </c>
      <c r="L47">
        <v>2.2740750852376452</v>
      </c>
      <c r="M47">
        <v>0.66006547545766403</v>
      </c>
      <c r="O47">
        <f t="shared" si="1"/>
        <v>0.62120905366253065</v>
      </c>
      <c r="P47">
        <f t="shared" si="2"/>
        <v>2.3537851501992706</v>
      </c>
      <c r="Q47">
        <f t="shared" si="3"/>
        <v>0.6969120689808378</v>
      </c>
      <c r="S47">
        <v>5.4295042514026998E-3</v>
      </c>
      <c r="T47">
        <v>1.7540521725421968E-3</v>
      </c>
      <c r="U47">
        <v>6.1106715085136099E-2</v>
      </c>
      <c r="W47">
        <f t="shared" si="8"/>
        <v>0.62123278074222144</v>
      </c>
      <c r="X47">
        <f t="shared" si="4"/>
        <v>1.368979328509955</v>
      </c>
      <c r="Y47">
        <f t="shared" si="5"/>
        <v>0.69958592218515092</v>
      </c>
      <c r="Z47">
        <f>0.00000776/(60/Test!G47)*100</f>
        <v>1.9270415889333335E-2</v>
      </c>
      <c r="AB47">
        <f t="shared" si="6"/>
        <v>1.6582600463149546</v>
      </c>
    </row>
    <row r="48" spans="1:28">
      <c r="A48" s="37" t="s">
        <v>82</v>
      </c>
      <c r="B48" s="2">
        <f>0.1/300*100</f>
        <v>3.333333333333334E-2</v>
      </c>
      <c r="K48">
        <v>0.13846902170256878</v>
      </c>
      <c r="L48">
        <v>2.0610846496147031</v>
      </c>
      <c r="M48">
        <v>0.5355908898253704</v>
      </c>
      <c r="O48">
        <f t="shared" si="1"/>
        <v>0.62294519018230365</v>
      </c>
      <c r="P48">
        <f t="shared" si="2"/>
        <v>2.1487105372472493</v>
      </c>
      <c r="Q48">
        <f t="shared" si="3"/>
        <v>0.5803943497863604</v>
      </c>
      <c r="S48">
        <v>2.9068921163331804E-3</v>
      </c>
      <c r="T48">
        <v>1.723061851472546E-3</v>
      </c>
      <c r="U48">
        <v>5.3433511588290718E-2</v>
      </c>
      <c r="W48">
        <f t="shared" si="8"/>
        <v>0.62295197246099354</v>
      </c>
      <c r="X48">
        <f t="shared" si="4"/>
        <v>1.2818999196604146</v>
      </c>
      <c r="Y48">
        <f t="shared" si="5"/>
        <v>0.58284881523821264</v>
      </c>
      <c r="Z48">
        <f>0.00000776/(60/Test!G48)*100</f>
        <v>1.922256190933333E-2</v>
      </c>
      <c r="AB48">
        <f t="shared" si="6"/>
        <v>1.539941171710584</v>
      </c>
    </row>
    <row r="49" spans="1:28">
      <c r="A49" s="5" t="s">
        <v>83</v>
      </c>
      <c r="B49" s="2">
        <v>0.3448</v>
      </c>
      <c r="K49">
        <v>0.14618884542714983</v>
      </c>
      <c r="L49">
        <v>1.6130277939641999</v>
      </c>
      <c r="M49">
        <v>0.46677040563942984</v>
      </c>
      <c r="O49">
        <f t="shared" si="1"/>
        <v>0.62470650591083421</v>
      </c>
      <c r="P49">
        <f t="shared" si="2"/>
        <v>1.7235851310860781</v>
      </c>
      <c r="Q49">
        <f t="shared" si="3"/>
        <v>0.51756604562200359</v>
      </c>
      <c r="S49">
        <v>3.0990321069650113E-3</v>
      </c>
      <c r="T49">
        <v>1.8656173283929367E-3</v>
      </c>
      <c r="U49">
        <v>5.5193761825046858E-2</v>
      </c>
      <c r="W49">
        <f t="shared" si="8"/>
        <v>0.62471419267319606</v>
      </c>
      <c r="X49">
        <f t="shared" si="4"/>
        <v>1.1098266073658363</v>
      </c>
      <c r="Y49">
        <f t="shared" si="5"/>
        <v>0.52050068484604117</v>
      </c>
      <c r="Z49">
        <f>0.00000776/(60/Test!G49)*100</f>
        <v>1.9182798893333335E-2</v>
      </c>
      <c r="AB49">
        <f t="shared" si="6"/>
        <v>1.3759621592336997</v>
      </c>
    </row>
    <row r="50" spans="1:28">
      <c r="A50" s="5" t="s">
        <v>84</v>
      </c>
      <c r="B50" s="2">
        <v>0.3448</v>
      </c>
      <c r="K50">
        <v>0.15593468558190277</v>
      </c>
      <c r="L50">
        <v>0.89377107787700383</v>
      </c>
      <c r="M50">
        <v>0.41884697469595045</v>
      </c>
      <c r="O50">
        <f t="shared" si="1"/>
        <v>0.62705874219846969</v>
      </c>
      <c r="P50">
        <f t="shared" si="2"/>
        <v>1.0806080601445749</v>
      </c>
      <c r="Q50">
        <f t="shared" si="3"/>
        <v>0.47479762869242531</v>
      </c>
      <c r="S50">
        <v>3.0680417858953615E-3</v>
      </c>
      <c r="T50">
        <v>2.5598005203530992E-3</v>
      </c>
      <c r="U50">
        <v>5.3148400634449956E-2</v>
      </c>
      <c r="W50">
        <f t="shared" si="8"/>
        <v>0.62706624773458097</v>
      </c>
      <c r="X50">
        <f t="shared" si="4"/>
        <v>0.88371951961861284</v>
      </c>
      <c r="Y50">
        <f t="shared" si="5"/>
        <v>0.47776305916421602</v>
      </c>
      <c r="Z50">
        <f>0.00000776/(60/Test!G50)*100</f>
        <v>1.9127769888000003E-2</v>
      </c>
      <c r="AB50">
        <f t="shared" si="6"/>
        <v>1.1843967581371191</v>
      </c>
    </row>
    <row r="51" spans="1:28">
      <c r="A51" s="37" t="s">
        <v>85</v>
      </c>
      <c r="B51" s="2">
        <v>0.5</v>
      </c>
      <c r="K51">
        <v>0.16557934062795623</v>
      </c>
      <c r="L51">
        <v>0.42117663871808797</v>
      </c>
      <c r="M51">
        <v>0.40079897406079334</v>
      </c>
      <c r="O51">
        <f t="shared" si="1"/>
        <v>0.62952645539547325</v>
      </c>
      <c r="P51">
        <f t="shared" si="2"/>
        <v>0.73910540588055962</v>
      </c>
      <c r="Q51">
        <f t="shared" si="3"/>
        <v>0.45895513681424738</v>
      </c>
      <c r="S51">
        <v>3.3097662902386322E-3</v>
      </c>
      <c r="T51">
        <v>3.1052301711789413E-3</v>
      </c>
      <c r="U51">
        <v>5.3724820606345432E-2</v>
      </c>
      <c r="W51">
        <f t="shared" si="8"/>
        <v>0.62953515596484744</v>
      </c>
      <c r="X51">
        <f t="shared" si="4"/>
        <v>0.79095134778870901</v>
      </c>
      <c r="Y51">
        <f t="shared" si="5"/>
        <v>0.4620889242963615</v>
      </c>
      <c r="Z51">
        <f>0.00000776/(60/Test!G51)*100</f>
        <v>1.9088646813333335E-2</v>
      </c>
      <c r="AB51">
        <f t="shared" si="6"/>
        <v>1.1116695091433393</v>
      </c>
    </row>
    <row r="52" spans="1:28">
      <c r="A52" s="37" t="s">
        <v>86</v>
      </c>
      <c r="B52" s="2">
        <v>0.5</v>
      </c>
      <c r="K52">
        <v>0.17865674343672314</v>
      </c>
      <c r="L52">
        <v>0.26037681322720241</v>
      </c>
      <c r="M52">
        <v>0.39588629149591453</v>
      </c>
      <c r="O52">
        <f t="shared" si="1"/>
        <v>0.63309183534098357</v>
      </c>
      <c r="P52">
        <f t="shared" si="2"/>
        <v>0.66082003969791459</v>
      </c>
      <c r="Q52">
        <f t="shared" si="3"/>
        <v>0.45467126123649848</v>
      </c>
      <c r="S52">
        <v>2.8077230889103004E-3</v>
      </c>
      <c r="T52">
        <v>4.5059926835271276E-3</v>
      </c>
      <c r="U52">
        <v>5.6049094686569184E-2</v>
      </c>
      <c r="W52">
        <f t="shared" si="8"/>
        <v>0.63309806134939239</v>
      </c>
      <c r="X52">
        <f t="shared" si="4"/>
        <v>0.77344442402188462</v>
      </c>
      <c r="Y52">
        <f t="shared" si="5"/>
        <v>0.45811293019251514</v>
      </c>
      <c r="Z52">
        <f>0.00000776/(60/Test!G52)*100</f>
        <v>1.9070097826666667E-2</v>
      </c>
      <c r="AB52">
        <f t="shared" si="6"/>
        <v>1.099663838532301</v>
      </c>
    </row>
    <row r="53" spans="1:28">
      <c r="A53" s="37" t="s">
        <v>87</v>
      </c>
      <c r="B53" s="2">
        <v>0.69</v>
      </c>
      <c r="K53">
        <v>0.20091144027351571</v>
      </c>
      <c r="L53">
        <v>0.19356077291835658</v>
      </c>
      <c r="M53">
        <v>0.39433222694895664</v>
      </c>
      <c r="O53">
        <f t="shared" si="1"/>
        <v>0.63972841646497025</v>
      </c>
      <c r="P53">
        <f t="shared" si="2"/>
        <v>0.63745808710279261</v>
      </c>
      <c r="Q53">
        <f t="shared" si="3"/>
        <v>0.45331876776780761</v>
      </c>
      <c r="S53">
        <v>3.1672108133182419E-3</v>
      </c>
      <c r="T53">
        <v>5.4914848935419995E-3</v>
      </c>
      <c r="U53">
        <v>5.2869487744823092E-2</v>
      </c>
      <c r="W53">
        <f t="shared" si="8"/>
        <v>0.63973625663793232</v>
      </c>
      <c r="X53">
        <f t="shared" si="4"/>
        <v>0.7685333769417021</v>
      </c>
      <c r="Y53">
        <f t="shared" si="5"/>
        <v>0.45639137584415801</v>
      </c>
      <c r="Z53">
        <f>0.00000776/(60/Test!G53)*100</f>
        <v>1.9058781806666668E-2</v>
      </c>
      <c r="AB53">
        <f t="shared" si="6"/>
        <v>1.0993463306162479</v>
      </c>
    </row>
    <row r="54" spans="1:28">
      <c r="A54" s="37" t="s">
        <v>88</v>
      </c>
      <c r="B54" s="2">
        <v>0.2</v>
      </c>
      <c r="K54">
        <v>0.21353055839629942</v>
      </c>
      <c r="L54">
        <v>0.17339378411024089</v>
      </c>
      <c r="M54">
        <v>0.39402673997363202</v>
      </c>
      <c r="O54">
        <f t="shared" si="1"/>
        <v>0.64380302839380577</v>
      </c>
      <c r="P54">
        <f t="shared" si="2"/>
        <v>0.63162682366098799</v>
      </c>
      <c r="Q54">
        <f t="shared" si="3"/>
        <v>0.45305305629059411</v>
      </c>
      <c r="S54">
        <v>2.8511095384078106E-3</v>
      </c>
      <c r="T54">
        <v>4.815895894223628E-3</v>
      </c>
      <c r="U54">
        <v>5.1896391663236077E-2</v>
      </c>
      <c r="W54">
        <f t="shared" si="8"/>
        <v>0.64380934149376512</v>
      </c>
      <c r="X54">
        <f t="shared" si="4"/>
        <v>0.76732424424696366</v>
      </c>
      <c r="Y54">
        <f t="shared" si="5"/>
        <v>0.45601568753926902</v>
      </c>
      <c r="Z54">
        <f>0.00000776/(60/Test!G54)*100</f>
        <v>1.9062758806666667E-2</v>
      </c>
      <c r="AB54">
        <f t="shared" si="6"/>
        <v>1.1007227898335907</v>
      </c>
    </row>
    <row r="55" spans="1:28">
      <c r="A55" s="37" t="s">
        <v>89</v>
      </c>
      <c r="B55" s="2">
        <v>0.1</v>
      </c>
      <c r="K55">
        <v>0.24681826614106239</v>
      </c>
      <c r="L55">
        <v>0.14528072839782566</v>
      </c>
      <c r="M55">
        <v>0.39381157688135804</v>
      </c>
      <c r="O55">
        <f t="shared" si="1"/>
        <v>0.65559613825958452</v>
      </c>
      <c r="P55">
        <f t="shared" si="2"/>
        <v>0.6244946197076503</v>
      </c>
      <c r="Q55">
        <f t="shared" si="3"/>
        <v>0.45286593831484145</v>
      </c>
      <c r="S55">
        <v>2.4358392360744989E-3</v>
      </c>
      <c r="T55">
        <v>4.1217127022634649E-3</v>
      </c>
      <c r="U55">
        <v>5.6594524337395043E-2</v>
      </c>
      <c r="W55">
        <f t="shared" si="8"/>
        <v>0.65560066337189149</v>
      </c>
      <c r="X55">
        <f t="shared" si="4"/>
        <v>0.76585936234431662</v>
      </c>
      <c r="Y55">
        <f t="shared" si="5"/>
        <v>0.45638853871537766</v>
      </c>
      <c r="Z55">
        <f>0.00000776/(60/Test!G55)*100</f>
        <v>1.9059948652000003E-2</v>
      </c>
      <c r="AB55">
        <f t="shared" si="6"/>
        <v>1.1068001502608689</v>
      </c>
    </row>
    <row r="58" spans="1:28">
      <c r="K58">
        <v>0.15416883276314974</v>
      </c>
      <c r="L58">
        <v>2.2725452548939553</v>
      </c>
      <c r="M58">
        <v>0.7192081381617117</v>
      </c>
      <c r="O58">
        <f t="shared" si="1"/>
        <v>0.62662195061739745</v>
      </c>
      <c r="P58">
        <f t="shared" si="2"/>
        <v>2.3523071601177072</v>
      </c>
      <c r="Q58">
        <f t="shared" si="3"/>
        <v>0.75316687792151071</v>
      </c>
      <c r="S58">
        <v>4.4997946193131967E-3</v>
      </c>
      <c r="T58">
        <v>1.8408250715372166E-3</v>
      </c>
      <c r="U58">
        <v>7.2393390018702666E-2</v>
      </c>
      <c r="W58">
        <f t="shared" si="8"/>
        <v>0.62663810700209421</v>
      </c>
      <c r="X58">
        <f t="shared" si="4"/>
        <v>1.3683441907598011</v>
      </c>
      <c r="Y58">
        <f t="shared" si="5"/>
        <v>0.75663805674604812</v>
      </c>
      <c r="Z58">
        <f>0.00000776/(60/Test!G58)*100</f>
        <v>1.7565252372E-2</v>
      </c>
      <c r="AB58">
        <f t="shared" si="6"/>
        <v>1.6845921846371577</v>
      </c>
    </row>
    <row r="59" spans="1:28">
      <c r="K59">
        <v>0.16527653563104203</v>
      </c>
      <c r="L59">
        <v>2.0671842923387924</v>
      </c>
      <c r="M59">
        <v>0.58781767004730479</v>
      </c>
      <c r="O59">
        <f t="shared" si="1"/>
        <v>0.6294468787993146</v>
      </c>
      <c r="P59">
        <f t="shared" si="2"/>
        <v>2.1545621222170026</v>
      </c>
      <c r="Q59">
        <f t="shared" si="3"/>
        <v>0.62891145101662926</v>
      </c>
      <c r="S59">
        <v>3.5019062808704627E-3</v>
      </c>
      <c r="T59">
        <v>1.8408250715372166E-3</v>
      </c>
      <c r="U59">
        <v>6.5631301961305011E-2</v>
      </c>
      <c r="W59">
        <f t="shared" si="8"/>
        <v>0.62945662009212289</v>
      </c>
      <c r="X59">
        <f t="shared" si="4"/>
        <v>1.2843531699357054</v>
      </c>
      <c r="Y59">
        <f t="shared" si="5"/>
        <v>0.63232672015104507</v>
      </c>
      <c r="Z59">
        <f>0.00000776/(60/Test!G59)*100</f>
        <v>1.7525320446666666E-2</v>
      </c>
      <c r="AB59">
        <f t="shared" si="6"/>
        <v>1.5639446664046111</v>
      </c>
    </row>
    <row r="60" spans="1:28">
      <c r="K60">
        <v>0.17302882077166662</v>
      </c>
      <c r="L60">
        <v>1.7156475603423678</v>
      </c>
      <c r="M60">
        <v>0.51920085392818782</v>
      </c>
      <c r="O60">
        <f t="shared" si="1"/>
        <v>0.6315267316730413</v>
      </c>
      <c r="P60">
        <f t="shared" si="2"/>
        <v>1.8199817557626006</v>
      </c>
      <c r="Q60">
        <f t="shared" si="3"/>
        <v>0.56530480868267818</v>
      </c>
      <c r="S60">
        <v>3.632065629362993E-3</v>
      </c>
      <c r="T60">
        <v>1.8284289431093567E-3</v>
      </c>
      <c r="U60">
        <v>6.1472400873757965E-2</v>
      </c>
      <c r="W60">
        <f t="shared" si="8"/>
        <v>0.63153717603825155</v>
      </c>
      <c r="X60">
        <f t="shared" si="4"/>
        <v>1.1476549711666273</v>
      </c>
      <c r="Y60">
        <f t="shared" si="5"/>
        <v>0.56863730337442986</v>
      </c>
      <c r="Z60">
        <f>0.00000776/(60/Test!G60)*100</f>
        <v>1.7496436950666668E-2</v>
      </c>
      <c r="AB60">
        <f t="shared" si="6"/>
        <v>1.4281476274029776</v>
      </c>
    </row>
    <row r="61" spans="1:28">
      <c r="K61">
        <v>0.18494073004711561</v>
      </c>
      <c r="L61">
        <v>1.09779761234021</v>
      </c>
      <c r="M61">
        <v>0.45963128527836783</v>
      </c>
      <c r="O61">
        <f t="shared" si="1"/>
        <v>0.63489378137634966</v>
      </c>
      <c r="P61">
        <f t="shared" si="2"/>
        <v>1.2546101536572489</v>
      </c>
      <c r="Q61">
        <f t="shared" si="3"/>
        <v>0.5111368881294367</v>
      </c>
      <c r="S61">
        <v>3.0370514648257112E-3</v>
      </c>
      <c r="T61">
        <v>2.3614624655073388E-3</v>
      </c>
      <c r="U61">
        <v>5.7846533308608908E-2</v>
      </c>
      <c r="W61">
        <f t="shared" si="8"/>
        <v>0.63490104529128011</v>
      </c>
      <c r="X61">
        <f t="shared" si="4"/>
        <v>0.93943729316215407</v>
      </c>
      <c r="Y61">
        <f t="shared" si="5"/>
        <v>0.51439978598602498</v>
      </c>
      <c r="Z61">
        <f>0.00000776/(60/Test!G61)*100</f>
        <v>1.7459721027999999E-2</v>
      </c>
      <c r="AB61">
        <f t="shared" si="6"/>
        <v>1.2452123299970328</v>
      </c>
    </row>
    <row r="62" spans="1:28">
      <c r="K62">
        <v>0.20647275509650967</v>
      </c>
      <c r="L62">
        <v>0.49976580089333805</v>
      </c>
      <c r="M62">
        <v>0.42504598825112172</v>
      </c>
      <c r="O62">
        <f t="shared" si="1"/>
        <v>0.64149671752639803</v>
      </c>
      <c r="P62">
        <f t="shared" si="2"/>
        <v>0.78654491018794326</v>
      </c>
      <c r="Q62">
        <f t="shared" si="3"/>
        <v>0.48027501718116955</v>
      </c>
      <c r="S62">
        <v>2.6093850340645399E-3</v>
      </c>
      <c r="T62">
        <v>2.5226121350695194E-3</v>
      </c>
      <c r="U62">
        <v>5.8751450683842688E-2</v>
      </c>
      <c r="W62">
        <f t="shared" si="8"/>
        <v>0.64150202453881566</v>
      </c>
      <c r="X62">
        <f t="shared" si="4"/>
        <v>0.80230591383306937</v>
      </c>
      <c r="Y62">
        <f t="shared" si="5"/>
        <v>0.48385516953508795</v>
      </c>
      <c r="Z62">
        <f>0.00000776/(60/Test!G62)*100</f>
        <v>1.742672188666667E-2</v>
      </c>
      <c r="AB62">
        <f t="shared" si="6"/>
        <v>1.1356227994278996</v>
      </c>
    </row>
    <row r="63" spans="1:28">
      <c r="K63">
        <v>0.22941940000713607</v>
      </c>
      <c r="L63">
        <v>0.33078172376323317</v>
      </c>
      <c r="M63">
        <v>0.41688581600628299</v>
      </c>
      <c r="O63">
        <f t="shared" si="1"/>
        <v>0.64924594808102909</v>
      </c>
      <c r="P63">
        <f t="shared" si="2"/>
        <v>0.69159496005666199</v>
      </c>
      <c r="Q63">
        <f t="shared" si="3"/>
        <v>0.47306847663654833</v>
      </c>
      <c r="S63">
        <v>2.8635056668356706E-3</v>
      </c>
      <c r="T63">
        <v>5.6650306915320414E-3</v>
      </c>
      <c r="U63">
        <v>5.3309550304012132E-2</v>
      </c>
      <c r="W63">
        <f t="shared" si="8"/>
        <v>0.64925226281033344</v>
      </c>
      <c r="X63">
        <f t="shared" si="4"/>
        <v>0.78014946108458771</v>
      </c>
      <c r="Y63">
        <f t="shared" si="5"/>
        <v>0.47606269727929795</v>
      </c>
      <c r="Z63">
        <f>0.00000776/(60/Test!G63)*100</f>
        <v>1.7414540497333333E-2</v>
      </c>
      <c r="AB63">
        <f t="shared" si="6"/>
        <v>1.1212049947964398</v>
      </c>
    </row>
    <row r="64" spans="1:28">
      <c r="K64">
        <v>0.26410876098765135</v>
      </c>
      <c r="L64">
        <v>0.24801212182756777</v>
      </c>
      <c r="M64">
        <v>0.41357792264523746</v>
      </c>
      <c r="O64">
        <f t="shared" si="1"/>
        <v>0.66229938670546296</v>
      </c>
      <c r="P64">
        <f t="shared" si="2"/>
        <v>0.65604653232328902</v>
      </c>
      <c r="Q64">
        <f t="shared" si="3"/>
        <v>0.47015603590675092</v>
      </c>
      <c r="S64">
        <v>3.0246553363978512E-3</v>
      </c>
      <c r="T64">
        <v>5.0948087838504786E-3</v>
      </c>
      <c r="U64">
        <v>5.9358860976807828E-2</v>
      </c>
      <c r="W64">
        <f t="shared" ref="W64:W66" si="9">(O64^2+S64^2)^0.5</f>
        <v>0.66230629331928925</v>
      </c>
      <c r="X64">
        <f t="shared" si="4"/>
        <v>0.77243149345672701</v>
      </c>
      <c r="Y64">
        <f t="shared" si="5"/>
        <v>0.47388835444228217</v>
      </c>
      <c r="Z64">
        <f>0.00000776/(60/Test!G64)*100</f>
        <v>1.7409760337333331E-2</v>
      </c>
      <c r="AB64">
        <f t="shared" si="6"/>
        <v>1.1225744120035621</v>
      </c>
    </row>
    <row r="65" spans="11:28">
      <c r="K65">
        <v>0.28206807439874138</v>
      </c>
      <c r="L65">
        <v>0.21950427601327038</v>
      </c>
      <c r="M65">
        <v>0.41250008399350913</v>
      </c>
      <c r="O65">
        <f t="shared" si="1"/>
        <v>0.66966367573209007</v>
      </c>
      <c r="P65">
        <f t="shared" si="2"/>
        <v>0.64580892467362971</v>
      </c>
      <c r="Q65">
        <f t="shared" si="3"/>
        <v>0.4692081833202103</v>
      </c>
      <c r="S65">
        <v>3.241587583885402E-3</v>
      </c>
      <c r="T65">
        <v>3.6754520788605041E-3</v>
      </c>
      <c r="U65">
        <v>5.765439331797708E-2</v>
      </c>
      <c r="W65">
        <f t="shared" si="9"/>
        <v>0.6696715213334653</v>
      </c>
      <c r="X65">
        <f t="shared" si="4"/>
        <v>0.77026358644875859</v>
      </c>
      <c r="Y65">
        <f t="shared" si="5"/>
        <v>0.47273708164635875</v>
      </c>
      <c r="Z65">
        <f>0.00000776/(60/Test!G65)*100</f>
        <v>1.7407609135999997E-2</v>
      </c>
      <c r="AB65">
        <f t="shared" si="6"/>
        <v>1.1249663605252069</v>
      </c>
    </row>
    <row r="66" spans="11:28">
      <c r="K66">
        <v>0.32006588960144605</v>
      </c>
      <c r="L66">
        <v>0.18058157967013339</v>
      </c>
      <c r="M66">
        <v>0.41201188337644262</v>
      </c>
      <c r="O66">
        <f t="shared" si="1"/>
        <v>0.68653420430912626</v>
      </c>
      <c r="P66">
        <f t="shared" si="2"/>
        <v>0.6336377095124317</v>
      </c>
      <c r="Q66">
        <f t="shared" si="3"/>
        <v>0.46877904394650938</v>
      </c>
      <c r="S66">
        <v>2.7705347036267201E-3</v>
      </c>
      <c r="T66">
        <v>4.636152032019657E-3</v>
      </c>
      <c r="U66">
        <v>5.6036698558141335E-2</v>
      </c>
      <c r="W66">
        <f t="shared" si="9"/>
        <v>0.68653979458506931</v>
      </c>
      <c r="X66">
        <f t="shared" si="4"/>
        <v>0.76773750233956706</v>
      </c>
      <c r="Y66">
        <f t="shared" si="5"/>
        <v>0.47211640898055995</v>
      </c>
      <c r="Z66">
        <f>0.00000776/(60/Test!G66)*100</f>
        <v>1.7405957678666671E-2</v>
      </c>
      <c r="AB66">
        <f t="shared" si="6"/>
        <v>1.1331172194609509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3</vt:i4>
      </vt:variant>
    </vt:vector>
  </HeadingPairs>
  <TitlesOfParts>
    <vt:vector size="3" baseType="lpstr">
      <vt:lpstr>Test</vt:lpstr>
      <vt:lpstr>Usikkerhet</vt:lpstr>
      <vt:lpstr>Ark3</vt:lpstr>
    </vt:vector>
  </TitlesOfParts>
  <Company>SWECO Grøner AS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Lien, Kjell Erik</dc:creator>
  <cp:lastModifiedBy>Lien, Kjell Erik</cp:lastModifiedBy>
  <cp:lastPrinted>2010-05-08T13:19:57Z</cp:lastPrinted>
  <dcterms:created xsi:type="dcterms:W3CDTF">2010-05-05T17:43:23Z</dcterms:created>
  <dcterms:modified xsi:type="dcterms:W3CDTF">2010-05-21T08:55:53Z</dcterms:modified>
</cp:coreProperties>
</file>