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5" yWindow="120" windowWidth="21975" windowHeight="11910" activeTab="1"/>
  </bookViews>
  <sheets>
    <sheet name="Test" sheetId="1" r:id="rId1"/>
    <sheet name="Usikkerhet" sheetId="2" r:id="rId2"/>
    <sheet name="Plot" sheetId="3" r:id="rId3"/>
  </sheets>
  <calcPr calcId="125725"/>
</workbook>
</file>

<file path=xl/calcChain.xml><?xml version="1.0" encoding="utf-8"?>
<calcChain xmlns="http://schemas.openxmlformats.org/spreadsheetml/2006/main">
  <c r="AB4" i="2"/>
  <c r="AB5"/>
  <c r="AB6"/>
  <c r="AB7"/>
  <c r="AB8"/>
  <c r="AB9"/>
  <c r="AB10"/>
  <c r="AB11"/>
  <c r="AB14"/>
  <c r="AB15"/>
  <c r="AB16"/>
  <c r="AB17"/>
  <c r="AB18"/>
  <c r="AB19"/>
  <c r="AB20"/>
  <c r="AB21"/>
  <c r="AB22"/>
  <c r="AB25"/>
  <c r="AB26"/>
  <c r="AB27"/>
  <c r="AB28"/>
  <c r="AB29"/>
  <c r="AB30"/>
  <c r="AB31"/>
  <c r="AB32"/>
  <c r="AB33"/>
  <c r="AB36"/>
  <c r="AB37"/>
  <c r="AB38"/>
  <c r="AB39"/>
  <c r="AB40"/>
  <c r="AB41"/>
  <c r="AB42"/>
  <c r="AB43"/>
  <c r="AB44"/>
  <c r="AB47"/>
  <c r="AB48"/>
  <c r="AB49"/>
  <c r="AB50"/>
  <c r="AB51"/>
  <c r="AB52"/>
  <c r="AB53"/>
  <c r="AB54"/>
  <c r="AB55"/>
  <c r="AB58"/>
  <c r="AB59"/>
  <c r="AB60"/>
  <c r="AB61"/>
  <c r="AB62"/>
  <c r="AB63"/>
  <c r="AB64"/>
  <c r="AB65"/>
  <c r="AB66"/>
  <c r="Z4"/>
  <c r="Z5"/>
  <c r="Z6"/>
  <c r="Z7"/>
  <c r="Z8"/>
  <c r="Z9"/>
  <c r="Z10"/>
  <c r="Z11"/>
  <c r="Z14"/>
  <c r="Z15"/>
  <c r="Z16"/>
  <c r="Z17"/>
  <c r="Z18"/>
  <c r="Z19"/>
  <c r="Z20"/>
  <c r="Z21"/>
  <c r="Z22"/>
  <c r="Z25"/>
  <c r="Z26"/>
  <c r="Z27"/>
  <c r="Z28"/>
  <c r="Z29"/>
  <c r="Z30"/>
  <c r="Z31"/>
  <c r="Z32"/>
  <c r="Z33"/>
  <c r="Z36"/>
  <c r="Z37"/>
  <c r="Z38"/>
  <c r="Z39"/>
  <c r="Z40"/>
  <c r="Z41"/>
  <c r="Z42"/>
  <c r="Z43"/>
  <c r="Z44"/>
  <c r="Z47"/>
  <c r="Z48"/>
  <c r="Z49"/>
  <c r="Z50"/>
  <c r="Z51"/>
  <c r="Z52"/>
  <c r="Z53"/>
  <c r="Z54"/>
  <c r="Z55"/>
  <c r="Z58"/>
  <c r="Z59"/>
  <c r="Z60"/>
  <c r="Z61"/>
  <c r="Z62"/>
  <c r="Z63"/>
  <c r="Z64"/>
  <c r="Z65"/>
  <c r="Z66"/>
  <c r="Y4"/>
  <c r="Y5"/>
  <c r="Y6"/>
  <c r="Y7"/>
  <c r="Y8"/>
  <c r="Y9"/>
  <c r="Y10"/>
  <c r="Y11"/>
  <c r="Y14"/>
  <c r="Y15"/>
  <c r="Y16"/>
  <c r="Y17"/>
  <c r="Y18"/>
  <c r="Y19"/>
  <c r="Y20"/>
  <c r="Y21"/>
  <c r="Y22"/>
  <c r="Y25"/>
  <c r="Y26"/>
  <c r="Y27"/>
  <c r="Y28"/>
  <c r="Y29"/>
  <c r="Y30"/>
  <c r="Y31"/>
  <c r="Y32"/>
  <c r="Y33"/>
  <c r="Y36"/>
  <c r="Y37"/>
  <c r="Y38"/>
  <c r="Y39"/>
  <c r="Y40"/>
  <c r="Y41"/>
  <c r="Y42"/>
  <c r="Y43"/>
  <c r="Y44"/>
  <c r="Y47"/>
  <c r="Y48"/>
  <c r="Y49"/>
  <c r="Y50"/>
  <c r="Y51"/>
  <c r="Y52"/>
  <c r="Y53"/>
  <c r="Y54"/>
  <c r="Y55"/>
  <c r="Y58"/>
  <c r="Y59"/>
  <c r="Y60"/>
  <c r="Y61"/>
  <c r="Y62"/>
  <c r="Y63"/>
  <c r="Y64"/>
  <c r="Y65"/>
  <c r="Y66"/>
  <c r="X4"/>
  <c r="X5"/>
  <c r="X6"/>
  <c r="X7"/>
  <c r="X8"/>
  <c r="X9"/>
  <c r="X10"/>
  <c r="X11"/>
  <c r="X14"/>
  <c r="X15"/>
  <c r="X16"/>
  <c r="X17"/>
  <c r="X18"/>
  <c r="X19"/>
  <c r="X20"/>
  <c r="X21"/>
  <c r="X22"/>
  <c r="X25"/>
  <c r="X26"/>
  <c r="X27"/>
  <c r="X28"/>
  <c r="X29"/>
  <c r="X30"/>
  <c r="X31"/>
  <c r="X32"/>
  <c r="X33"/>
  <c r="X36"/>
  <c r="X37"/>
  <c r="X38"/>
  <c r="X39"/>
  <c r="X40"/>
  <c r="X41"/>
  <c r="X42"/>
  <c r="X43"/>
  <c r="X44"/>
  <c r="X47"/>
  <c r="X48"/>
  <c r="X49"/>
  <c r="X50"/>
  <c r="X51"/>
  <c r="X52"/>
  <c r="X53"/>
  <c r="X54"/>
  <c r="X55"/>
  <c r="X58"/>
  <c r="X59"/>
  <c r="X60"/>
  <c r="X61"/>
  <c r="X62"/>
  <c r="X63"/>
  <c r="X64"/>
  <c r="X65"/>
  <c r="X66"/>
  <c r="W4"/>
  <c r="W5"/>
  <c r="W6"/>
  <c r="W7"/>
  <c r="W8"/>
  <c r="W9"/>
  <c r="W10"/>
  <c r="W11"/>
  <c r="W14"/>
  <c r="W15"/>
  <c r="W16"/>
  <c r="W17"/>
  <c r="W18"/>
  <c r="W19"/>
  <c r="W20"/>
  <c r="W21"/>
  <c r="W22"/>
  <c r="W25"/>
  <c r="W26"/>
  <c r="W27"/>
  <c r="W28"/>
  <c r="W29"/>
  <c r="W30"/>
  <c r="W31"/>
  <c r="W32"/>
  <c r="W33"/>
  <c r="W36"/>
  <c r="W37"/>
  <c r="W38"/>
  <c r="W39"/>
  <c r="W40"/>
  <c r="W41"/>
  <c r="W42"/>
  <c r="W43"/>
  <c r="W44"/>
  <c r="W47"/>
  <c r="W48"/>
  <c r="W49"/>
  <c r="W50"/>
  <c r="W51"/>
  <c r="W52"/>
  <c r="W53"/>
  <c r="W54"/>
  <c r="W55"/>
  <c r="W58"/>
  <c r="W59"/>
  <c r="W60"/>
  <c r="W61"/>
  <c r="W62"/>
  <c r="W63"/>
  <c r="W64"/>
  <c r="W65"/>
  <c r="W66"/>
  <c r="Q4"/>
  <c r="Q5"/>
  <c r="Q6"/>
  <c r="Q7"/>
  <c r="Q8"/>
  <c r="Q9"/>
  <c r="Q10"/>
  <c r="Q11"/>
  <c r="Q14"/>
  <c r="Q15"/>
  <c r="Q16"/>
  <c r="Q17"/>
  <c r="Q18"/>
  <c r="Q19"/>
  <c r="Q20"/>
  <c r="Q21"/>
  <c r="Q22"/>
  <c r="Q25"/>
  <c r="Q26"/>
  <c r="Q27"/>
  <c r="Q28"/>
  <c r="Q29"/>
  <c r="Q30"/>
  <c r="Q31"/>
  <c r="Q32"/>
  <c r="Q33"/>
  <c r="Q36"/>
  <c r="Q37"/>
  <c r="Q38"/>
  <c r="Q39"/>
  <c r="Q40"/>
  <c r="Q41"/>
  <c r="Q42"/>
  <c r="Q43"/>
  <c r="Q44"/>
  <c r="Q47"/>
  <c r="Q48"/>
  <c r="Q49"/>
  <c r="Q50"/>
  <c r="Q51"/>
  <c r="Q52"/>
  <c r="Q53"/>
  <c r="Q54"/>
  <c r="Q55"/>
  <c r="Q58"/>
  <c r="Q59"/>
  <c r="Q60"/>
  <c r="Q61"/>
  <c r="Q62"/>
  <c r="Q63"/>
  <c r="Q64"/>
  <c r="Q65"/>
  <c r="Q66"/>
  <c r="O4"/>
  <c r="O5"/>
  <c r="O6"/>
  <c r="O7"/>
  <c r="O8"/>
  <c r="O9"/>
  <c r="O10"/>
  <c r="O11"/>
  <c r="O14"/>
  <c r="O15"/>
  <c r="O16"/>
  <c r="O17"/>
  <c r="O18"/>
  <c r="O19"/>
  <c r="O20"/>
  <c r="O21"/>
  <c r="O22"/>
  <c r="O25"/>
  <c r="O26"/>
  <c r="O27"/>
  <c r="O28"/>
  <c r="O29"/>
  <c r="O30"/>
  <c r="O31"/>
  <c r="O32"/>
  <c r="O33"/>
  <c r="O36"/>
  <c r="O37"/>
  <c r="O38"/>
  <c r="O39"/>
  <c r="O40"/>
  <c r="O41"/>
  <c r="O42"/>
  <c r="O43"/>
  <c r="O44"/>
  <c r="O47"/>
  <c r="O48"/>
  <c r="O49"/>
  <c r="O50"/>
  <c r="O51"/>
  <c r="O52"/>
  <c r="O53"/>
  <c r="O54"/>
  <c r="O55"/>
  <c r="O58"/>
  <c r="O59"/>
  <c r="O60"/>
  <c r="O61"/>
  <c r="O62"/>
  <c r="O63"/>
  <c r="O64"/>
  <c r="O65"/>
  <c r="O66"/>
  <c r="P4"/>
  <c r="P5"/>
  <c r="P6"/>
  <c r="P7"/>
  <c r="P8"/>
  <c r="P9"/>
  <c r="P10"/>
  <c r="P11"/>
  <c r="P14"/>
  <c r="P15"/>
  <c r="P16"/>
  <c r="P17"/>
  <c r="P18"/>
  <c r="P19"/>
  <c r="P20"/>
  <c r="P21"/>
  <c r="P22"/>
  <c r="P25"/>
  <c r="P26"/>
  <c r="P27"/>
  <c r="P28"/>
  <c r="P29"/>
  <c r="P30"/>
  <c r="P31"/>
  <c r="P32"/>
  <c r="P33"/>
  <c r="P36"/>
  <c r="P37"/>
  <c r="P38"/>
  <c r="P39"/>
  <c r="P40"/>
  <c r="P41"/>
  <c r="P42"/>
  <c r="P43"/>
  <c r="P44"/>
  <c r="P47"/>
  <c r="P48"/>
  <c r="P49"/>
  <c r="P50"/>
  <c r="P51"/>
  <c r="P52"/>
  <c r="P53"/>
  <c r="P54"/>
  <c r="P55"/>
  <c r="P58"/>
  <c r="P59"/>
  <c r="P60"/>
  <c r="P61"/>
  <c r="P62"/>
  <c r="P63"/>
  <c r="P64"/>
  <c r="P65"/>
  <c r="P66"/>
  <c r="Q3"/>
  <c r="P3"/>
  <c r="X3" s="1"/>
  <c r="O3"/>
  <c r="Z3"/>
  <c r="Y3"/>
  <c r="W3"/>
  <c r="B48"/>
  <c r="B47"/>
  <c r="B46"/>
  <c r="B28"/>
  <c r="E4"/>
  <c r="E5"/>
  <c r="E6"/>
  <c r="E7" s="1"/>
  <c r="E8" s="1"/>
  <c r="E13"/>
  <c r="B29"/>
  <c r="C28" s="1"/>
  <c r="B30"/>
  <c r="B31"/>
  <c r="B32" s="1"/>
  <c r="D31" s="1"/>
  <c r="B34"/>
  <c r="C33" s="1"/>
  <c r="B36"/>
  <c r="B35" s="1"/>
  <c r="C35" s="1"/>
  <c r="B37"/>
  <c r="A38"/>
  <c r="U23" i="1"/>
  <c r="U34"/>
  <c r="U12"/>
  <c r="N53"/>
  <c r="N54"/>
  <c r="N55"/>
  <c r="N36"/>
  <c r="N37"/>
  <c r="N38"/>
  <c r="N39"/>
  <c r="N40"/>
  <c r="N41"/>
  <c r="N42"/>
  <c r="N43"/>
  <c r="N44"/>
  <c r="N3"/>
  <c r="N4"/>
  <c r="N5"/>
  <c r="N6"/>
  <c r="N7"/>
  <c r="N8"/>
  <c r="N9"/>
  <c r="N10"/>
  <c r="N11"/>
  <c r="N12"/>
  <c r="N25"/>
  <c r="N26"/>
  <c r="N27"/>
  <c r="N28"/>
  <c r="N29"/>
  <c r="N30"/>
  <c r="N31"/>
  <c r="N32"/>
  <c r="N33"/>
  <c r="N34"/>
  <c r="N14"/>
  <c r="N15"/>
  <c r="N16"/>
  <c r="N17"/>
  <c r="N18"/>
  <c r="N19"/>
  <c r="N20"/>
  <c r="N21"/>
  <c r="N22"/>
  <c r="N23"/>
  <c r="N59"/>
  <c r="N60"/>
  <c r="N61"/>
  <c r="N62"/>
  <c r="N63"/>
  <c r="N64"/>
  <c r="N65"/>
  <c r="N66"/>
  <c r="N47"/>
  <c r="N48"/>
  <c r="N49"/>
  <c r="N50"/>
  <c r="N51"/>
  <c r="N52"/>
  <c r="N58"/>
  <c r="H69"/>
  <c r="J15"/>
  <c r="J16"/>
  <c r="J17"/>
  <c r="J18"/>
  <c r="J19"/>
  <c r="J20"/>
  <c r="J21"/>
  <c r="J22"/>
  <c r="J23"/>
  <c r="I15"/>
  <c r="I16"/>
  <c r="I17"/>
  <c r="I18"/>
  <c r="I19"/>
  <c r="I20"/>
  <c r="I21"/>
  <c r="I22"/>
  <c r="I23"/>
  <c r="J14"/>
  <c r="I14"/>
  <c r="J26"/>
  <c r="J27"/>
  <c r="J28"/>
  <c r="J29"/>
  <c r="J30"/>
  <c r="J31"/>
  <c r="J32"/>
  <c r="J33"/>
  <c r="J34"/>
  <c r="I26"/>
  <c r="I27"/>
  <c r="I28"/>
  <c r="I29"/>
  <c r="I30"/>
  <c r="I31"/>
  <c r="I32"/>
  <c r="I33"/>
  <c r="I34"/>
  <c r="J25"/>
  <c r="I25"/>
  <c r="I12"/>
  <c r="J12"/>
  <c r="I3"/>
  <c r="J3"/>
  <c r="I4"/>
  <c r="J4"/>
  <c r="I5"/>
  <c r="J5"/>
  <c r="I6"/>
  <c r="J6"/>
  <c r="I7"/>
  <c r="J7"/>
  <c r="I8"/>
  <c r="J8"/>
  <c r="I9"/>
  <c r="J9"/>
  <c r="I10"/>
  <c r="J10"/>
  <c r="I11"/>
  <c r="J11"/>
  <c r="J37"/>
  <c r="J38"/>
  <c r="J39"/>
  <c r="J40"/>
  <c r="J41"/>
  <c r="J42"/>
  <c r="J43"/>
  <c r="J44"/>
  <c r="I37"/>
  <c r="I38"/>
  <c r="I39"/>
  <c r="I40"/>
  <c r="I41"/>
  <c r="I42"/>
  <c r="I43"/>
  <c r="I44"/>
  <c r="J36"/>
  <c r="I36"/>
  <c r="J48"/>
  <c r="J49"/>
  <c r="J50"/>
  <c r="J51"/>
  <c r="J52"/>
  <c r="J53"/>
  <c r="J54"/>
  <c r="J55"/>
  <c r="I48"/>
  <c r="I49"/>
  <c r="I50"/>
  <c r="I51"/>
  <c r="I52"/>
  <c r="I53"/>
  <c r="I54"/>
  <c r="I55"/>
  <c r="J47"/>
  <c r="I47"/>
  <c r="J59"/>
  <c r="J60"/>
  <c r="J61"/>
  <c r="J62"/>
  <c r="J63"/>
  <c r="J64"/>
  <c r="J65"/>
  <c r="J66"/>
  <c r="J58"/>
  <c r="I59"/>
  <c r="I60"/>
  <c r="I61"/>
  <c r="I62"/>
  <c r="I63"/>
  <c r="I64"/>
  <c r="I65"/>
  <c r="I66"/>
  <c r="I58"/>
  <c r="AB3" i="2" l="1"/>
  <c r="C30"/>
  <c r="D36"/>
  <c r="D34"/>
  <c r="D29"/>
  <c r="E23"/>
  <c r="E17" s="1"/>
  <c r="E18" s="1"/>
  <c r="B38" s="1"/>
  <c r="D38" s="1"/>
  <c r="E19"/>
  <c r="E20" l="1"/>
  <c r="E21" s="1"/>
  <c r="E22" s="1"/>
  <c r="B27"/>
  <c r="B26" s="1"/>
  <c r="C37"/>
  <c r="C26" l="1"/>
  <c r="D27"/>
  <c r="D41" l="1"/>
  <c r="E27" s="1"/>
  <c r="E31" l="1"/>
  <c r="E38"/>
  <c r="E29"/>
  <c r="E34"/>
  <c r="E36"/>
</calcChain>
</file>

<file path=xl/sharedStrings.xml><?xml version="1.0" encoding="utf-8"?>
<sst xmlns="http://schemas.openxmlformats.org/spreadsheetml/2006/main" count="126" uniqueCount="99">
  <si>
    <t>Dens [kg/m3]</t>
  </si>
  <si>
    <t>dP [Pa]</t>
  </si>
  <si>
    <t>Q_blende [m3/s]</t>
  </si>
  <si>
    <t>Moment [Nm]</t>
  </si>
  <si>
    <t>Turtall [rpm]</t>
  </si>
  <si>
    <t>Eff</t>
  </si>
  <si>
    <t>C</t>
  </si>
  <si>
    <t>dC [%]</t>
  </si>
  <si>
    <t>Frekvens</t>
  </si>
  <si>
    <t>Åpning Ventil</t>
  </si>
  <si>
    <t>rør av</t>
  </si>
  <si>
    <t>nytt punkt</t>
  </si>
  <si>
    <t>Q_aff</t>
  </si>
  <si>
    <t>P_aff</t>
  </si>
  <si>
    <t>verifisering</t>
  </si>
  <si>
    <t>Eff max</t>
  </si>
  <si>
    <t>dP_Q [Pa]</t>
  </si>
  <si>
    <t>Basis</t>
  </si>
  <si>
    <t>NS-EN ISO 5167-1</t>
  </si>
  <si>
    <t>og</t>
  </si>
  <si>
    <t>NS-EN ISO 5167-2</t>
  </si>
  <si>
    <t>Antatt luftmengde (for overslag av Re-tall)</t>
  </si>
  <si>
    <t>m3/s</t>
  </si>
  <si>
    <t>Hastighet i rør</t>
  </si>
  <si>
    <t>m/s</t>
  </si>
  <si>
    <t>Hastighet i blende</t>
  </si>
  <si>
    <t>Dynamisk viskositet for luft</t>
  </si>
  <si>
    <t>Ns/m2</t>
  </si>
  <si>
    <t>Kinematisk viskositet for luft</t>
  </si>
  <si>
    <t>m2/s</t>
  </si>
  <si>
    <t>Reynoldstall</t>
  </si>
  <si>
    <t>Blendediameter</t>
  </si>
  <si>
    <t>d</t>
  </si>
  <si>
    <t>m</t>
  </si>
  <si>
    <t>delta p</t>
  </si>
  <si>
    <t>Pa</t>
  </si>
  <si>
    <t>rho</t>
  </si>
  <si>
    <t>kg/m3</t>
  </si>
  <si>
    <t>Rørdiameter</t>
  </si>
  <si>
    <t>D</t>
  </si>
  <si>
    <t>Beta</t>
  </si>
  <si>
    <t>l1</t>
  </si>
  <si>
    <t>l2</t>
  </si>
  <si>
    <t>p1</t>
  </si>
  <si>
    <t>p2</t>
  </si>
  <si>
    <t>epsilon</t>
  </si>
  <si>
    <t>Discharge coeffisient</t>
  </si>
  <si>
    <t>Volumstrøm</t>
  </si>
  <si>
    <t>kg/s</t>
  </si>
  <si>
    <t>m3/h</t>
  </si>
  <si>
    <t>Trykktap (statisk trykkdifferanse rørvegg før og etter blende)</t>
  </si>
  <si>
    <t>Beregning av målefeil</t>
  </si>
  <si>
    <t>dC</t>
  </si>
  <si>
    <t>dD</t>
  </si>
  <si>
    <t>dd</t>
  </si>
  <si>
    <t>beta</t>
  </si>
  <si>
    <t>d(delta)p</t>
  </si>
  <si>
    <t>(delta)p</t>
  </si>
  <si>
    <t>drho</t>
  </si>
  <si>
    <t>depsilon</t>
  </si>
  <si>
    <t>Målefeil for volumstrøm fra blende</t>
  </si>
  <si>
    <t>Avvik [%]</t>
  </si>
  <si>
    <t>T [C]</t>
  </si>
  <si>
    <t>Patm [Pa]</t>
  </si>
  <si>
    <t>Konstante feil</t>
  </si>
  <si>
    <t>f_rho</t>
  </si>
  <si>
    <t>f_d</t>
  </si>
  <si>
    <t>f_D</t>
  </si>
  <si>
    <t>f_dPQ_a+b</t>
  </si>
  <si>
    <t>f_Patm</t>
  </si>
  <si>
    <t>f_dP_a+b</t>
  </si>
  <si>
    <t>f_dP_f</t>
  </si>
  <si>
    <t>f_dPQ_f</t>
  </si>
  <si>
    <t>f_Ttemp</t>
  </si>
  <si>
    <t>f_dp_kal</t>
  </si>
  <si>
    <t>f_dP_l</t>
  </si>
  <si>
    <t>f_dPQ_l</t>
  </si>
  <si>
    <t>f_dP</t>
  </si>
  <si>
    <t>f_dpQ</t>
  </si>
  <si>
    <t>f_C</t>
  </si>
  <si>
    <t>f_dpQ_kal</t>
  </si>
  <si>
    <t>f_t_a+b</t>
  </si>
  <si>
    <t>f_dpQ_a+b</t>
  </si>
  <si>
    <t>f_dp_a+b</t>
  </si>
  <si>
    <t>f_w</t>
  </si>
  <si>
    <t>f_eta</t>
  </si>
  <si>
    <t>Variabel feil fra kalibrering</t>
  </si>
  <si>
    <t>Total feil fra kalibrering</t>
  </si>
  <si>
    <t>Relativ feil fra test</t>
  </si>
  <si>
    <t>Total feil i variabler</t>
  </si>
  <si>
    <t>f_t_kal</t>
  </si>
  <si>
    <t>f_t_l</t>
  </si>
  <si>
    <t>f_t</t>
  </si>
  <si>
    <t>f_s</t>
  </si>
  <si>
    <t>f_lodd</t>
  </si>
  <si>
    <t>Feil i virkn. grad</t>
  </si>
  <si>
    <t>Std_dP</t>
  </si>
  <si>
    <t>Std_dP_Q</t>
  </si>
  <si>
    <t>Std_mom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</si>
</sst>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0.0000"/>
    <numFmt numFmtId="166" formatCode="_(* #,##0.000_);_(* \(#,##0.000\);_(* &quot;-&quot;??_);_(@_)"/>
    <numFmt numFmtId="167" formatCode="_(* #,##0.0_);_(* \(#,##0.0\);_(* &quot;-&quot;??_);_(@_)"/>
    <numFmt numFmtId="168" formatCode="0.0000\ %"/>
    <numFmt numFmtId="169" formatCode="0.00000"/>
  </numFmts>
  <fonts count="8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i/>
      <sz val="11"/>
      <color rgb="FF7F7F7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1" fillId="2" borderId="0" xfId="1"/>
    <xf numFmtId="0" fontId="2" fillId="3" borderId="0" xfId="2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164" fontId="4" fillId="0" borderId="0" xfId="0" applyNumberFormat="1" applyFont="1"/>
    <xf numFmtId="11" fontId="5" fillId="0" borderId="0" xfId="3" applyNumberFormat="1" applyFont="1"/>
    <xf numFmtId="11" fontId="4" fillId="0" borderId="0" xfId="3" applyNumberFormat="1" applyFont="1"/>
    <xf numFmtId="0" fontId="0" fillId="4" borderId="0" xfId="0" applyFill="1"/>
    <xf numFmtId="0" fontId="0" fillId="5" borderId="0" xfId="0" applyFill="1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0" fillId="0" borderId="0" xfId="0" quotePrefix="1"/>
    <xf numFmtId="1" fontId="4" fillId="0" borderId="0" xfId="0" applyNumberFormat="1" applyFont="1" applyBorder="1"/>
    <xf numFmtId="0" fontId="0" fillId="0" borderId="0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5" fontId="4" fillId="0" borderId="10" xfId="0" applyNumberFormat="1" applyFont="1" applyBorder="1"/>
    <xf numFmtId="0" fontId="0" fillId="0" borderId="11" xfId="0" applyBorder="1"/>
    <xf numFmtId="165" fontId="4" fillId="0" borderId="0" xfId="0" applyNumberFormat="1" applyFont="1"/>
    <xf numFmtId="166" fontId="4" fillId="0" borderId="0" xfId="3" applyNumberFormat="1" applyFont="1"/>
    <xf numFmtId="167" fontId="4" fillId="5" borderId="0" xfId="3" applyNumberFormat="1" applyFont="1" applyFill="1"/>
    <xf numFmtId="1" fontId="4" fillId="0" borderId="0" xfId="0" applyNumberFormat="1" applyFont="1"/>
    <xf numFmtId="0" fontId="4" fillId="0" borderId="4" xfId="0" applyFont="1" applyBorder="1"/>
    <xf numFmtId="10" fontId="0" fillId="0" borderId="0" xfId="4" applyNumberFormat="1" applyFont="1" applyBorder="1"/>
    <xf numFmtId="165" fontId="0" fillId="0" borderId="0" xfId="0" applyNumberFormat="1" applyBorder="1"/>
    <xf numFmtId="10" fontId="0" fillId="0" borderId="8" xfId="4" applyNumberFormat="1" applyFont="1" applyBorder="1"/>
    <xf numFmtId="0" fontId="4" fillId="0" borderId="9" xfId="0" applyFont="1" applyBorder="1"/>
    <xf numFmtId="10" fontId="0" fillId="0" borderId="11" xfId="4" applyNumberFormat="1" applyFont="1" applyBorder="1"/>
    <xf numFmtId="1" fontId="0" fillId="0" borderId="0" xfId="0" applyNumberFormat="1" applyBorder="1"/>
    <xf numFmtId="0" fontId="7" fillId="0" borderId="0" xfId="5"/>
    <xf numFmtId="0" fontId="4" fillId="0" borderId="0" xfId="0" applyFont="1" applyFill="1" applyBorder="1"/>
    <xf numFmtId="168" fontId="6" fillId="0" borderId="10" xfId="4" applyNumberFormat="1" applyFont="1" applyBorder="1"/>
    <xf numFmtId="165" fontId="0" fillId="0" borderId="0" xfId="0" applyNumberFormat="1"/>
    <xf numFmtId="169" fontId="0" fillId="0" borderId="0" xfId="0" applyNumberFormat="1"/>
  </cellXfs>
  <cellStyles count="6">
    <cellStyle name="Forklarende tekst" xfId="5" builtinId="53"/>
    <cellStyle name="God" xfId="1" builtinId="26"/>
    <cellStyle name="Normal" xfId="0" builtinId="0"/>
    <cellStyle name="Nøytral" xfId="2" builtinId="28"/>
    <cellStyle name="Prosent" xfId="4" builtinId="5"/>
    <cellStyle name="Tusenskille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3.2700727515276723E-2"/>
          <c:y val="9.3799526848481182E-2"/>
          <c:w val="0.799290615817004"/>
          <c:h val="0.85791887261037125"/>
        </c:manualLayout>
      </c:layout>
      <c:scatterChart>
        <c:scatterStyle val="smoothMarker"/>
        <c:ser>
          <c:idx val="0"/>
          <c:order val="0"/>
          <c:tx>
            <c:v>Trykk1350</c:v>
          </c:tx>
          <c:xVal>
            <c:numRef>
              <c:f>Test!$E$58:$E$66</c:f>
              <c:numCache>
                <c:formatCode>General</c:formatCode>
                <c:ptCount val="9"/>
                <c:pt idx="0">
                  <c:v>6.0999999999999999E-2</c:v>
                </c:pt>
                <c:pt idx="1">
                  <c:v>0.105</c:v>
                </c:pt>
                <c:pt idx="2">
                  <c:v>0.15</c:v>
                </c:pt>
                <c:pt idx="3">
                  <c:v>0.21299999999999999</c:v>
                </c:pt>
                <c:pt idx="4">
                  <c:v>0.29499999999999998</c:v>
                </c:pt>
                <c:pt idx="5">
                  <c:v>0.36</c:v>
                </c:pt>
                <c:pt idx="6">
                  <c:v>0.39700000000000002</c:v>
                </c:pt>
                <c:pt idx="7">
                  <c:v>0.42599999999999999</c:v>
                </c:pt>
                <c:pt idx="8">
                  <c:v>0.45400000000000001</c:v>
                </c:pt>
              </c:numCache>
            </c:numRef>
          </c:xVal>
          <c:yVal>
            <c:numRef>
              <c:f>Test!$D$58:$D$66</c:f>
              <c:numCache>
                <c:formatCode>General</c:formatCode>
                <c:ptCount val="9"/>
                <c:pt idx="0">
                  <c:v>377.041</c:v>
                </c:pt>
                <c:pt idx="1">
                  <c:v>346.27800000000002</c:v>
                </c:pt>
                <c:pt idx="2">
                  <c:v>328.54399999999998</c:v>
                </c:pt>
                <c:pt idx="3">
                  <c:v>308.483</c:v>
                </c:pt>
                <c:pt idx="4">
                  <c:v>283.69900000000001</c:v>
                </c:pt>
                <c:pt idx="5">
                  <c:v>264.339</c:v>
                </c:pt>
                <c:pt idx="6">
                  <c:v>249.75</c:v>
                </c:pt>
                <c:pt idx="7">
                  <c:v>236.77500000000001</c:v>
                </c:pt>
                <c:pt idx="8">
                  <c:v>222.023</c:v>
                </c:pt>
              </c:numCache>
            </c:numRef>
          </c:yVal>
          <c:smooth val="1"/>
        </c:ser>
        <c:ser>
          <c:idx val="2"/>
          <c:order val="2"/>
          <c:tx>
            <c:v>Trykk1480</c:v>
          </c:tx>
          <c:xVal>
            <c:numRef>
              <c:f>Test!$E$47:$E$55</c:f>
              <c:numCache>
                <c:formatCode>General</c:formatCode>
                <c:ptCount val="9"/>
                <c:pt idx="0">
                  <c:v>6.2E-2</c:v>
                </c:pt>
                <c:pt idx="1">
                  <c:v>0.114</c:v>
                </c:pt>
                <c:pt idx="2">
                  <c:v>0.16300000000000001</c:v>
                </c:pt>
                <c:pt idx="3">
                  <c:v>0.24099999999999999</c:v>
                </c:pt>
                <c:pt idx="4">
                  <c:v>0.318</c:v>
                </c:pt>
                <c:pt idx="5">
                  <c:v>0.38600000000000001</c:v>
                </c:pt>
                <c:pt idx="6">
                  <c:v>0.439</c:v>
                </c:pt>
                <c:pt idx="7">
                  <c:v>0.46700000000000003</c:v>
                </c:pt>
                <c:pt idx="8">
                  <c:v>0.495</c:v>
                </c:pt>
              </c:numCache>
            </c:numRef>
          </c:xVal>
          <c:yVal>
            <c:numRef>
              <c:f>Test!$D$47:$D$55</c:f>
              <c:numCache>
                <c:formatCode>General</c:formatCode>
                <c:ptCount val="9"/>
                <c:pt idx="0">
                  <c:v>452.33199999999999</c:v>
                </c:pt>
                <c:pt idx="1">
                  <c:v>414.39100000000002</c:v>
                </c:pt>
                <c:pt idx="2">
                  <c:v>393.59</c:v>
                </c:pt>
                <c:pt idx="3">
                  <c:v>366.20400000000001</c:v>
                </c:pt>
                <c:pt idx="4">
                  <c:v>340.29599999999999</c:v>
                </c:pt>
                <c:pt idx="5">
                  <c:v>317.899</c:v>
                </c:pt>
                <c:pt idx="6">
                  <c:v>295.67899999999997</c:v>
                </c:pt>
                <c:pt idx="7">
                  <c:v>280.71100000000001</c:v>
                </c:pt>
                <c:pt idx="8">
                  <c:v>264.45800000000003</c:v>
                </c:pt>
              </c:numCache>
            </c:numRef>
          </c:yVal>
          <c:smooth val="1"/>
        </c:ser>
        <c:ser>
          <c:idx val="3"/>
          <c:order val="3"/>
          <c:tx>
            <c:v>Trykk1600</c:v>
          </c:tx>
          <c:xVal>
            <c:numRef>
              <c:f>Test!$E$36:$E$44</c:f>
              <c:numCache>
                <c:formatCode>General</c:formatCode>
                <c:ptCount val="9"/>
                <c:pt idx="0">
                  <c:v>6.3E-2</c:v>
                </c:pt>
                <c:pt idx="1">
                  <c:v>0.127</c:v>
                </c:pt>
                <c:pt idx="2">
                  <c:v>0.18099999999999999</c:v>
                </c:pt>
                <c:pt idx="3">
                  <c:v>0.25900000000000001</c:v>
                </c:pt>
                <c:pt idx="4">
                  <c:v>0.35</c:v>
                </c:pt>
                <c:pt idx="5">
                  <c:v>0.41599999999999998</c:v>
                </c:pt>
                <c:pt idx="6">
                  <c:v>0.47899999999999998</c:v>
                </c:pt>
                <c:pt idx="7">
                  <c:v>0.504</c:v>
                </c:pt>
                <c:pt idx="8">
                  <c:v>0.53500000000000003</c:v>
                </c:pt>
              </c:numCache>
            </c:numRef>
          </c:xVal>
          <c:yVal>
            <c:numRef>
              <c:f>Test!$D$36:$D$44</c:f>
              <c:numCache>
                <c:formatCode>General</c:formatCode>
                <c:ptCount val="9"/>
                <c:pt idx="0">
                  <c:v>533.24099999999999</c:v>
                </c:pt>
                <c:pt idx="1">
                  <c:v>484.4</c:v>
                </c:pt>
                <c:pt idx="2">
                  <c:v>459.73099999999999</c:v>
                </c:pt>
                <c:pt idx="3">
                  <c:v>429.858</c:v>
                </c:pt>
                <c:pt idx="4">
                  <c:v>395.62</c:v>
                </c:pt>
                <c:pt idx="5">
                  <c:v>371.49400000000003</c:v>
                </c:pt>
                <c:pt idx="6">
                  <c:v>341.72</c:v>
                </c:pt>
                <c:pt idx="7">
                  <c:v>327.44600000000003</c:v>
                </c:pt>
                <c:pt idx="8">
                  <c:v>308.14600000000002</c:v>
                </c:pt>
              </c:numCache>
            </c:numRef>
          </c:yVal>
          <c:smooth val="1"/>
        </c:ser>
        <c:ser>
          <c:idx val="4"/>
          <c:order val="4"/>
          <c:tx>
            <c:v>Trykk2000</c:v>
          </c:tx>
          <c:xVal>
            <c:numRef>
              <c:f>Test!$E$3:$E$11</c:f>
              <c:numCache>
                <c:formatCode>General</c:formatCode>
                <c:ptCount val="9"/>
                <c:pt idx="0">
                  <c:v>4.2999999999999997E-2</c:v>
                </c:pt>
                <c:pt idx="1">
                  <c:v>0.126</c:v>
                </c:pt>
                <c:pt idx="2">
                  <c:v>0.22</c:v>
                </c:pt>
                <c:pt idx="3">
                  <c:v>0.32800000000000001</c:v>
                </c:pt>
                <c:pt idx="4">
                  <c:v>0.42</c:v>
                </c:pt>
                <c:pt idx="5">
                  <c:v>0.50900000000000001</c:v>
                </c:pt>
                <c:pt idx="6">
                  <c:v>0.58499999999999996</c:v>
                </c:pt>
                <c:pt idx="7">
                  <c:v>0.621</c:v>
                </c:pt>
                <c:pt idx="8">
                  <c:v>0.65900000000000003</c:v>
                </c:pt>
              </c:numCache>
            </c:numRef>
          </c:xVal>
          <c:yVal>
            <c:numRef>
              <c:f>Test!$D$3:$D$11</c:f>
              <c:numCache>
                <c:formatCode>General</c:formatCode>
                <c:ptCount val="9"/>
                <c:pt idx="0">
                  <c:v>850.56100000000004</c:v>
                </c:pt>
                <c:pt idx="1">
                  <c:v>780.49</c:v>
                </c:pt>
                <c:pt idx="2">
                  <c:v>722.84100000000001</c:v>
                </c:pt>
                <c:pt idx="3">
                  <c:v>665.91300000000001</c:v>
                </c:pt>
                <c:pt idx="4">
                  <c:v>618.47699999999998</c:v>
                </c:pt>
                <c:pt idx="5">
                  <c:v>571.93200000000002</c:v>
                </c:pt>
                <c:pt idx="6">
                  <c:v>524.65</c:v>
                </c:pt>
                <c:pt idx="7">
                  <c:v>497.42399999999998</c:v>
                </c:pt>
                <c:pt idx="8">
                  <c:v>467.721</c:v>
                </c:pt>
              </c:numCache>
            </c:numRef>
          </c:yVal>
          <c:smooth val="1"/>
        </c:ser>
        <c:ser>
          <c:idx val="8"/>
          <c:order val="8"/>
          <c:tx>
            <c:v>Trykk1900</c:v>
          </c:tx>
          <c:xVal>
            <c:numRef>
              <c:f>Test!$E$14:$E$22</c:f>
              <c:numCache>
                <c:formatCode>General</c:formatCode>
                <c:ptCount val="9"/>
                <c:pt idx="0">
                  <c:v>3.7650000000000003E-2</c:v>
                </c:pt>
                <c:pt idx="1">
                  <c:v>0.12518000000000001</c:v>
                </c:pt>
                <c:pt idx="2">
                  <c:v>0.19778000000000001</c:v>
                </c:pt>
                <c:pt idx="3">
                  <c:v>0.2918</c:v>
                </c:pt>
                <c:pt idx="4">
                  <c:v>0.41004000000000002</c:v>
                </c:pt>
                <c:pt idx="5">
                  <c:v>0.50068000000000001</c:v>
                </c:pt>
                <c:pt idx="6">
                  <c:v>0.55167999999999995</c:v>
                </c:pt>
                <c:pt idx="7">
                  <c:v>0.58391000000000004</c:v>
                </c:pt>
                <c:pt idx="8">
                  <c:v>0.62004000000000004</c:v>
                </c:pt>
              </c:numCache>
            </c:numRef>
          </c:xVal>
          <c:yVal>
            <c:numRef>
              <c:f>Test!$D$14:$D$22</c:f>
              <c:numCache>
                <c:formatCode>General</c:formatCode>
                <c:ptCount val="9"/>
                <c:pt idx="0">
                  <c:v>758.07344000000001</c:v>
                </c:pt>
                <c:pt idx="1">
                  <c:v>691.48906999999997</c:v>
                </c:pt>
                <c:pt idx="2">
                  <c:v>651.19179999999994</c:v>
                </c:pt>
                <c:pt idx="3">
                  <c:v>606.75424999999996</c:v>
                </c:pt>
                <c:pt idx="4">
                  <c:v>551.07971999999995</c:v>
                </c:pt>
                <c:pt idx="5">
                  <c:v>506.00787000000003</c:v>
                </c:pt>
                <c:pt idx="6">
                  <c:v>475.80155999999999</c:v>
                </c:pt>
                <c:pt idx="7">
                  <c:v>450.00051999999999</c:v>
                </c:pt>
                <c:pt idx="8">
                  <c:v>422.09178000000003</c:v>
                </c:pt>
              </c:numCache>
            </c:numRef>
          </c:yVal>
          <c:smooth val="1"/>
        </c:ser>
        <c:ser>
          <c:idx val="10"/>
          <c:order val="10"/>
          <c:tx>
            <c:v>Trykk1760</c:v>
          </c:tx>
          <c:xVal>
            <c:numRef>
              <c:f>Test!$E$25:$E$33</c:f>
              <c:numCache>
                <c:formatCode>General</c:formatCode>
                <c:ptCount val="9"/>
                <c:pt idx="0">
                  <c:v>3.4470000000000001E-2</c:v>
                </c:pt>
                <c:pt idx="1">
                  <c:v>0.11681</c:v>
                </c:pt>
                <c:pt idx="2">
                  <c:v>0.18972</c:v>
                </c:pt>
                <c:pt idx="3">
                  <c:v>0.28098000000000001</c:v>
                </c:pt>
                <c:pt idx="4">
                  <c:v>0.36346000000000001</c:v>
                </c:pt>
                <c:pt idx="5">
                  <c:v>0.46044000000000002</c:v>
                </c:pt>
                <c:pt idx="6">
                  <c:v>0.52263999999999999</c:v>
                </c:pt>
                <c:pt idx="7">
                  <c:v>0.54884999999999995</c:v>
                </c:pt>
                <c:pt idx="8">
                  <c:v>0.58221999999999996</c:v>
                </c:pt>
              </c:numCache>
            </c:numRef>
          </c:xVal>
          <c:yVal>
            <c:numRef>
              <c:f>Test!$D$25:$D$33</c:f>
              <c:numCache>
                <c:formatCode>General</c:formatCode>
                <c:ptCount val="9"/>
                <c:pt idx="0">
                  <c:v>641.83605</c:v>
                </c:pt>
                <c:pt idx="1">
                  <c:v>587.97360000000003</c:v>
                </c:pt>
                <c:pt idx="2">
                  <c:v>552.17845</c:v>
                </c:pt>
                <c:pt idx="3">
                  <c:v>513.72077999999999</c:v>
                </c:pt>
                <c:pt idx="4">
                  <c:v>478.94294000000002</c:v>
                </c:pt>
                <c:pt idx="5">
                  <c:v>437.58870000000002</c:v>
                </c:pt>
                <c:pt idx="6">
                  <c:v>403.98279000000002</c:v>
                </c:pt>
                <c:pt idx="7">
                  <c:v>387.11072999999999</c:v>
                </c:pt>
                <c:pt idx="8">
                  <c:v>364.24004000000002</c:v>
                </c:pt>
              </c:numCache>
            </c:numRef>
          </c:yVal>
          <c:smooth val="1"/>
        </c:ser>
        <c:axId val="101677696"/>
        <c:axId val="133347200"/>
      </c:scatterChart>
      <c:scatterChart>
        <c:scatterStyle val="smoothMarker"/>
        <c:ser>
          <c:idx val="1"/>
          <c:order val="1"/>
          <c:tx>
            <c:v>Eff1350</c:v>
          </c:tx>
          <c:xVal>
            <c:numRef>
              <c:f>Test!$E$58:$E$66</c:f>
              <c:numCache>
                <c:formatCode>General</c:formatCode>
                <c:ptCount val="9"/>
                <c:pt idx="0">
                  <c:v>6.0999999999999999E-2</c:v>
                </c:pt>
                <c:pt idx="1">
                  <c:v>0.105</c:v>
                </c:pt>
                <c:pt idx="2">
                  <c:v>0.15</c:v>
                </c:pt>
                <c:pt idx="3">
                  <c:v>0.21299999999999999</c:v>
                </c:pt>
                <c:pt idx="4">
                  <c:v>0.29499999999999998</c:v>
                </c:pt>
                <c:pt idx="5">
                  <c:v>0.36</c:v>
                </c:pt>
                <c:pt idx="6">
                  <c:v>0.39700000000000002</c:v>
                </c:pt>
                <c:pt idx="7">
                  <c:v>0.42599999999999999</c:v>
                </c:pt>
                <c:pt idx="8">
                  <c:v>0.45400000000000001</c:v>
                </c:pt>
              </c:numCache>
            </c:numRef>
          </c:xVal>
          <c:yVal>
            <c:numRef>
              <c:f>Test!$H$58:$H$66</c:f>
              <c:numCache>
                <c:formatCode>General</c:formatCode>
                <c:ptCount val="9"/>
                <c:pt idx="0">
                  <c:v>0.21199999999999999</c:v>
                </c:pt>
                <c:pt idx="1">
                  <c:v>0.26</c:v>
                </c:pt>
                <c:pt idx="2">
                  <c:v>0.313</c:v>
                </c:pt>
                <c:pt idx="3">
                  <c:v>0.37</c:v>
                </c:pt>
                <c:pt idx="4">
                  <c:v>0.41799999999999998</c:v>
                </c:pt>
                <c:pt idx="5">
                  <c:v>0.44400000000000001</c:v>
                </c:pt>
                <c:pt idx="6">
                  <c:v>0.45200000000000001</c:v>
                </c:pt>
                <c:pt idx="7">
                  <c:v>0.45300000000000001</c:v>
                </c:pt>
                <c:pt idx="8">
                  <c:v>0.44800000000000001</c:v>
                </c:pt>
              </c:numCache>
            </c:numRef>
          </c:yVal>
          <c:smooth val="1"/>
        </c:ser>
        <c:ser>
          <c:idx val="5"/>
          <c:order val="5"/>
          <c:tx>
            <c:v>Eff1480</c:v>
          </c:tx>
          <c:xVal>
            <c:numRef>
              <c:f>Test!$E$47:$E$55</c:f>
              <c:numCache>
                <c:formatCode>General</c:formatCode>
                <c:ptCount val="9"/>
                <c:pt idx="0">
                  <c:v>6.2E-2</c:v>
                </c:pt>
                <c:pt idx="1">
                  <c:v>0.114</c:v>
                </c:pt>
                <c:pt idx="2">
                  <c:v>0.16300000000000001</c:v>
                </c:pt>
                <c:pt idx="3">
                  <c:v>0.24099999999999999</c:v>
                </c:pt>
                <c:pt idx="4">
                  <c:v>0.318</c:v>
                </c:pt>
                <c:pt idx="5">
                  <c:v>0.38600000000000001</c:v>
                </c:pt>
                <c:pt idx="6">
                  <c:v>0.439</c:v>
                </c:pt>
                <c:pt idx="7">
                  <c:v>0.46700000000000003</c:v>
                </c:pt>
                <c:pt idx="8">
                  <c:v>0.495</c:v>
                </c:pt>
              </c:numCache>
            </c:numRef>
          </c:xVal>
          <c:yVal>
            <c:numRef>
              <c:f>Test!$H$47:$H$55</c:f>
              <c:numCache>
                <c:formatCode>General</c:formatCode>
                <c:ptCount val="9"/>
                <c:pt idx="0">
                  <c:v>0.2</c:v>
                </c:pt>
                <c:pt idx="1">
                  <c:v>0.26100000000000001</c:v>
                </c:pt>
                <c:pt idx="2">
                  <c:v>0.316</c:v>
                </c:pt>
                <c:pt idx="3">
                  <c:v>0.38</c:v>
                </c:pt>
                <c:pt idx="4">
                  <c:v>0.42</c:v>
                </c:pt>
                <c:pt idx="5">
                  <c:v>0.44500000000000001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0.45100000000000001</c:v>
                </c:pt>
              </c:numCache>
            </c:numRef>
          </c:yVal>
          <c:smooth val="1"/>
        </c:ser>
        <c:ser>
          <c:idx val="6"/>
          <c:order val="6"/>
          <c:tx>
            <c:v>Eff1600</c:v>
          </c:tx>
          <c:xVal>
            <c:numRef>
              <c:f>Test!$E$36:$E$44</c:f>
              <c:numCache>
                <c:formatCode>General</c:formatCode>
                <c:ptCount val="9"/>
                <c:pt idx="0">
                  <c:v>6.3E-2</c:v>
                </c:pt>
                <c:pt idx="1">
                  <c:v>0.127</c:v>
                </c:pt>
                <c:pt idx="2">
                  <c:v>0.18099999999999999</c:v>
                </c:pt>
                <c:pt idx="3">
                  <c:v>0.25900000000000001</c:v>
                </c:pt>
                <c:pt idx="4">
                  <c:v>0.35</c:v>
                </c:pt>
                <c:pt idx="5">
                  <c:v>0.41599999999999998</c:v>
                </c:pt>
                <c:pt idx="6">
                  <c:v>0.47899999999999998</c:v>
                </c:pt>
                <c:pt idx="7">
                  <c:v>0.504</c:v>
                </c:pt>
                <c:pt idx="8">
                  <c:v>0.53500000000000003</c:v>
                </c:pt>
              </c:numCache>
            </c:numRef>
          </c:xVal>
          <c:yVal>
            <c:numRef>
              <c:f>Test!$H$36:$H$44</c:f>
              <c:numCache>
                <c:formatCode>General</c:formatCode>
                <c:ptCount val="9"/>
                <c:pt idx="0">
                  <c:v>0.19</c:v>
                </c:pt>
                <c:pt idx="1">
                  <c:v>0.26600000000000001</c:v>
                </c:pt>
                <c:pt idx="2">
                  <c:v>0.32300000000000001</c:v>
                </c:pt>
                <c:pt idx="3">
                  <c:v>0.38200000000000001</c:v>
                </c:pt>
                <c:pt idx="4">
                  <c:v>0.42499999999999999</c:v>
                </c:pt>
                <c:pt idx="5">
                  <c:v>0.44800000000000001</c:v>
                </c:pt>
                <c:pt idx="6">
                  <c:v>0.45800000000000002</c:v>
                </c:pt>
                <c:pt idx="7">
                  <c:v>0.45700000000000002</c:v>
                </c:pt>
                <c:pt idx="8">
                  <c:v>0.45300000000000001</c:v>
                </c:pt>
              </c:numCache>
            </c:numRef>
          </c:yVal>
          <c:smooth val="1"/>
        </c:ser>
        <c:ser>
          <c:idx val="7"/>
          <c:order val="7"/>
          <c:tx>
            <c:v>Eff2000</c:v>
          </c:tx>
          <c:xVal>
            <c:numRef>
              <c:f>Test!$E$3:$E$11</c:f>
              <c:numCache>
                <c:formatCode>General</c:formatCode>
                <c:ptCount val="9"/>
                <c:pt idx="0">
                  <c:v>4.2999999999999997E-2</c:v>
                </c:pt>
                <c:pt idx="1">
                  <c:v>0.126</c:v>
                </c:pt>
                <c:pt idx="2">
                  <c:v>0.22</c:v>
                </c:pt>
                <c:pt idx="3">
                  <c:v>0.32800000000000001</c:v>
                </c:pt>
                <c:pt idx="4">
                  <c:v>0.42</c:v>
                </c:pt>
                <c:pt idx="5">
                  <c:v>0.50900000000000001</c:v>
                </c:pt>
                <c:pt idx="6">
                  <c:v>0.58499999999999996</c:v>
                </c:pt>
                <c:pt idx="7">
                  <c:v>0.621</c:v>
                </c:pt>
                <c:pt idx="8">
                  <c:v>0.65900000000000003</c:v>
                </c:pt>
              </c:numCache>
            </c:numRef>
          </c:xVal>
          <c:yVal>
            <c:numRef>
              <c:f>Test!$H$3:$H$11</c:f>
              <c:numCache>
                <c:formatCode>General</c:formatCode>
                <c:ptCount val="9"/>
                <c:pt idx="0">
                  <c:v>0.10199999999999999</c:v>
                </c:pt>
                <c:pt idx="1">
                  <c:v>0.223</c:v>
                </c:pt>
                <c:pt idx="2">
                  <c:v>0.313</c:v>
                </c:pt>
                <c:pt idx="3">
                  <c:v>0.38200000000000001</c:v>
                </c:pt>
                <c:pt idx="4">
                  <c:v>0.41899999999999998</c:v>
                </c:pt>
                <c:pt idx="5">
                  <c:v>0.44400000000000001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0.45200000000000001</c:v>
                </c:pt>
              </c:numCache>
            </c:numRef>
          </c:yVal>
          <c:smooth val="1"/>
        </c:ser>
        <c:ser>
          <c:idx val="9"/>
          <c:order val="9"/>
          <c:tx>
            <c:v>Eff1900</c:v>
          </c:tx>
          <c:xVal>
            <c:numRef>
              <c:f>Test!$E$14:$E$22</c:f>
              <c:numCache>
                <c:formatCode>General</c:formatCode>
                <c:ptCount val="9"/>
                <c:pt idx="0">
                  <c:v>3.7650000000000003E-2</c:v>
                </c:pt>
                <c:pt idx="1">
                  <c:v>0.12518000000000001</c:v>
                </c:pt>
                <c:pt idx="2">
                  <c:v>0.19778000000000001</c:v>
                </c:pt>
                <c:pt idx="3">
                  <c:v>0.2918</c:v>
                </c:pt>
                <c:pt idx="4">
                  <c:v>0.41004000000000002</c:v>
                </c:pt>
                <c:pt idx="5">
                  <c:v>0.50068000000000001</c:v>
                </c:pt>
                <c:pt idx="6">
                  <c:v>0.55167999999999995</c:v>
                </c:pt>
                <c:pt idx="7">
                  <c:v>0.58391000000000004</c:v>
                </c:pt>
                <c:pt idx="8">
                  <c:v>0.62004000000000004</c:v>
                </c:pt>
              </c:numCache>
            </c:numRef>
          </c:xVal>
          <c:yVal>
            <c:numRef>
              <c:f>Test!$H$14:$H$22</c:f>
              <c:numCache>
                <c:formatCode>General</c:formatCode>
                <c:ptCount val="9"/>
                <c:pt idx="0">
                  <c:v>9.7030000000000005E-2</c:v>
                </c:pt>
                <c:pt idx="1">
                  <c:v>0.22805</c:v>
                </c:pt>
                <c:pt idx="2">
                  <c:v>0.30401</c:v>
                </c:pt>
                <c:pt idx="3">
                  <c:v>0.37129000000000001</c:v>
                </c:pt>
                <c:pt idx="4">
                  <c:v>0.42159999999999997</c:v>
                </c:pt>
                <c:pt idx="5">
                  <c:v>0.44517000000000001</c:v>
                </c:pt>
                <c:pt idx="6">
                  <c:v>0.45190999999999998</c:v>
                </c:pt>
                <c:pt idx="7">
                  <c:v>0.44811000000000001</c:v>
                </c:pt>
                <c:pt idx="8">
                  <c:v>0.44330000000000003</c:v>
                </c:pt>
              </c:numCache>
            </c:numRef>
          </c:yVal>
          <c:smooth val="1"/>
        </c:ser>
        <c:ser>
          <c:idx val="11"/>
          <c:order val="11"/>
          <c:tx>
            <c:v>Eff1760</c:v>
          </c:tx>
          <c:xVal>
            <c:numRef>
              <c:f>Test!$E$25:$E$33</c:f>
              <c:numCache>
                <c:formatCode>General</c:formatCode>
                <c:ptCount val="9"/>
                <c:pt idx="0">
                  <c:v>3.4470000000000001E-2</c:v>
                </c:pt>
                <c:pt idx="1">
                  <c:v>0.11681</c:v>
                </c:pt>
                <c:pt idx="2">
                  <c:v>0.18972</c:v>
                </c:pt>
                <c:pt idx="3">
                  <c:v>0.28098000000000001</c:v>
                </c:pt>
                <c:pt idx="4">
                  <c:v>0.36346000000000001</c:v>
                </c:pt>
                <c:pt idx="5">
                  <c:v>0.46044000000000002</c:v>
                </c:pt>
                <c:pt idx="6">
                  <c:v>0.52263999999999999</c:v>
                </c:pt>
                <c:pt idx="7">
                  <c:v>0.54884999999999995</c:v>
                </c:pt>
                <c:pt idx="8">
                  <c:v>0.58221999999999996</c:v>
                </c:pt>
              </c:numCache>
            </c:numRef>
          </c:xVal>
          <c:yVal>
            <c:numRef>
              <c:f>Test!$H$25:$H$33</c:f>
              <c:numCache>
                <c:formatCode>General</c:formatCode>
                <c:ptCount val="9"/>
                <c:pt idx="0">
                  <c:v>9.622E-2</c:v>
                </c:pt>
                <c:pt idx="1">
                  <c:v>0.23050999999999999</c:v>
                </c:pt>
                <c:pt idx="2">
                  <c:v>0.30930000000000002</c:v>
                </c:pt>
                <c:pt idx="3">
                  <c:v>0.37596000000000002</c:v>
                </c:pt>
                <c:pt idx="4">
                  <c:v>0.41289999999999999</c:v>
                </c:pt>
                <c:pt idx="5">
                  <c:v>0.44235999999999998</c:v>
                </c:pt>
                <c:pt idx="6">
                  <c:v>0.45019999999999999</c:v>
                </c:pt>
                <c:pt idx="7">
                  <c:v>0.44947999999999999</c:v>
                </c:pt>
                <c:pt idx="8">
                  <c:v>0.44563999999999998</c:v>
                </c:pt>
              </c:numCache>
            </c:numRef>
          </c:yVal>
          <c:smooth val="1"/>
        </c:ser>
        <c:axId val="150542592"/>
        <c:axId val="150540288"/>
      </c:scatterChart>
      <c:valAx>
        <c:axId val="10167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</c:title>
        <c:numFmt formatCode="General" sourceLinked="1"/>
        <c:tickLblPos val="nextTo"/>
        <c:crossAx val="133347200"/>
        <c:crosses val="autoZero"/>
        <c:crossBetween val="midCat"/>
      </c:valAx>
      <c:valAx>
        <c:axId val="13334720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</c:title>
        <c:numFmt formatCode="General" sourceLinked="1"/>
        <c:tickLblPos val="nextTo"/>
        <c:crossAx val="101677696"/>
        <c:crosses val="autoZero"/>
        <c:crossBetween val="midCat"/>
      </c:valAx>
      <c:valAx>
        <c:axId val="150540288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Virkningsgrad</a:t>
                </a:r>
              </a:p>
            </c:rich>
          </c:tx>
        </c:title>
        <c:numFmt formatCode="General" sourceLinked="1"/>
        <c:tickLblPos val="nextTo"/>
        <c:crossAx val="150542592"/>
        <c:crosses val="max"/>
        <c:crossBetween val="midCat"/>
      </c:valAx>
      <c:valAx>
        <c:axId val="150542592"/>
        <c:scaling>
          <c:orientation val="minMax"/>
        </c:scaling>
        <c:delete val="1"/>
        <c:axPos val="b"/>
        <c:numFmt formatCode="General" sourceLinked="1"/>
        <c:tickLblPos val="none"/>
        <c:crossAx val="150540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5798625093185523E-2"/>
          <c:h val="0.36951031338377993"/>
        </c:manualLayout>
      </c:layout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7.5711480203449519E-2"/>
          <c:y val="4.6208942293826716E-2"/>
          <c:w val="0.799290615817004"/>
          <c:h val="0.85791887261037225"/>
        </c:manualLayout>
      </c:layout>
      <c:scatterChart>
        <c:scatterStyle val="smoothMarker"/>
        <c:ser>
          <c:idx val="0"/>
          <c:order val="0"/>
          <c:tx>
            <c:v>1350 rpm</c:v>
          </c:tx>
          <c:xVal>
            <c:numRef>
              <c:f>Test!$I$58:$I$66</c:f>
              <c:numCache>
                <c:formatCode>General</c:formatCode>
                <c:ptCount val="9"/>
                <c:pt idx="0">
                  <c:v>6.0670000139979349E-2</c:v>
                </c:pt>
                <c:pt idx="1">
                  <c:v>0.10467117743444483</c:v>
                </c:pt>
                <c:pt idx="2">
                  <c:v>0.14970281219504983</c:v>
                </c:pt>
                <c:pt idx="3">
                  <c:v>0.21289528705880961</c:v>
                </c:pt>
                <c:pt idx="4">
                  <c:v>0.29533536971983737</c:v>
                </c:pt>
                <c:pt idx="5">
                  <c:v>0.36079990675623808</c:v>
                </c:pt>
                <c:pt idx="6">
                  <c:v>0.39805588007893533</c:v>
                </c:pt>
                <c:pt idx="7">
                  <c:v>0.42721614195075319</c:v>
                </c:pt>
                <c:pt idx="8">
                  <c:v>0.4554293735226782</c:v>
                </c:pt>
              </c:numCache>
            </c:numRef>
          </c:xVal>
          <c:yVal>
            <c:numRef>
              <c:f>Test!$J$58:$J$66</c:f>
              <c:numCache>
                <c:formatCode>General</c:formatCode>
                <c:ptCount val="9"/>
                <c:pt idx="0">
                  <c:v>372.97257632598149</c:v>
                </c:pt>
                <c:pt idx="1">
                  <c:v>344.11255753149044</c:v>
                </c:pt>
                <c:pt idx="2">
                  <c:v>327.24343271748972</c:v>
                </c:pt>
                <c:pt idx="3">
                  <c:v>308.17976786663473</c:v>
                </c:pt>
                <c:pt idx="4">
                  <c:v>284.34441109315935</c:v>
                </c:pt>
                <c:pt idx="5">
                  <c:v>265.51500814037303</c:v>
                </c:pt>
                <c:pt idx="6">
                  <c:v>251.08026061606611</c:v>
                </c:pt>
                <c:pt idx="7">
                  <c:v>238.12881705223592</c:v>
                </c:pt>
                <c:pt idx="8">
                  <c:v>223.42323513632945</c:v>
                </c:pt>
              </c:numCache>
            </c:numRef>
          </c:yVal>
          <c:smooth val="1"/>
        </c:ser>
        <c:ser>
          <c:idx val="2"/>
          <c:order val="1"/>
          <c:tx>
            <c:v>1480 rpm</c:v>
          </c:tx>
          <c:xVal>
            <c:numRef>
              <c:f>Test!$I$47:$I$55</c:f>
              <c:numCache>
                <c:formatCode>General</c:formatCode>
                <c:ptCount val="9"/>
                <c:pt idx="0">
                  <c:v>6.1665672059052816E-2</c:v>
                </c:pt>
                <c:pt idx="1">
                  <c:v>0.1136730364081153</c:v>
                </c:pt>
                <c:pt idx="2">
                  <c:v>0.16275443874208712</c:v>
                </c:pt>
                <c:pt idx="3">
                  <c:v>0.24112023427898507</c:v>
                </c:pt>
                <c:pt idx="4">
                  <c:v>0.31870848033804877</c:v>
                </c:pt>
                <c:pt idx="5">
                  <c:v>0.38737964737928116</c:v>
                </c:pt>
                <c:pt idx="6">
                  <c:v>0.44088567996905687</c:v>
                </c:pt>
                <c:pt idx="7">
                  <c:v>0.46898399241656769</c:v>
                </c:pt>
                <c:pt idx="8">
                  <c:v>0.49734153772626805</c:v>
                </c:pt>
              </c:numCache>
            </c:numRef>
          </c:xVal>
          <c:yVal>
            <c:numRef>
              <c:f>Test!$J$47:$J$55</c:f>
              <c:numCache>
                <c:formatCode>General</c:formatCode>
                <c:ptCount val="9"/>
                <c:pt idx="0">
                  <c:v>447.46685521338827</c:v>
                </c:pt>
                <c:pt idx="1">
                  <c:v>412.01737773417153</c:v>
                </c:pt>
                <c:pt idx="2">
                  <c:v>392.40499812239079</c:v>
                </c:pt>
                <c:pt idx="3">
                  <c:v>366.56948761158958</c:v>
                </c:pt>
                <c:pt idx="4">
                  <c:v>341.81399744513777</c:v>
                </c:pt>
                <c:pt idx="5">
                  <c:v>320.17554055587959</c:v>
                </c:pt>
                <c:pt idx="6">
                  <c:v>298.22457371353818</c:v>
                </c:pt>
                <c:pt idx="7">
                  <c:v>283.10119921441225</c:v>
                </c:pt>
                <c:pt idx="8">
                  <c:v>266.96589090995201</c:v>
                </c:pt>
              </c:numCache>
            </c:numRef>
          </c:yVal>
          <c:smooth val="1"/>
        </c:ser>
        <c:ser>
          <c:idx val="3"/>
          <c:order val="2"/>
          <c:tx>
            <c:v>1600 rpm</c:v>
          </c:tx>
          <c:xVal>
            <c:numRef>
              <c:f>Test!$I$36:$I$44</c:f>
              <c:numCache>
                <c:formatCode>General</c:formatCode>
                <c:ptCount val="9"/>
                <c:pt idx="0">
                  <c:v>6.2427152838763295E-2</c:v>
                </c:pt>
                <c:pt idx="1">
                  <c:v>0.12628852203896299</c:v>
                </c:pt>
                <c:pt idx="2">
                  <c:v>0.18032243843757081</c:v>
                </c:pt>
                <c:pt idx="3">
                  <c:v>0.25863952116737299</c:v>
                </c:pt>
                <c:pt idx="4">
                  <c:v>0.35040756780230009</c:v>
                </c:pt>
                <c:pt idx="5">
                  <c:v>0.41715290634491076</c:v>
                </c:pt>
                <c:pt idx="6">
                  <c:v>0.48080482109719358</c:v>
                </c:pt>
                <c:pt idx="7">
                  <c:v>0.50599678983187402</c:v>
                </c:pt>
                <c:pt idx="8">
                  <c:v>0.5372362458734482</c:v>
                </c:pt>
              </c:numCache>
            </c:numRef>
          </c:xVal>
          <c:yVal>
            <c:numRef>
              <c:f>Test!$J$36:$J$44</c:f>
              <c:numCache>
                <c:formatCode>General</c:formatCode>
                <c:ptCount val="9"/>
                <c:pt idx="0">
                  <c:v>523.58776754009398</c:v>
                </c:pt>
                <c:pt idx="1">
                  <c:v>478.9878022773741</c:v>
                </c:pt>
                <c:pt idx="2">
                  <c:v>456.29549699238748</c:v>
                </c:pt>
                <c:pt idx="3">
                  <c:v>428.66227122575174</c:v>
                </c:pt>
                <c:pt idx="4">
                  <c:v>396.54191917387044</c:v>
                </c:pt>
                <c:pt idx="5">
                  <c:v>373.55597732679917</c:v>
                </c:pt>
                <c:pt idx="6">
                  <c:v>344.29998069833562</c:v>
                </c:pt>
                <c:pt idx="7">
                  <c:v>330.04574628677597</c:v>
                </c:pt>
                <c:pt idx="8">
                  <c:v>310.72742199859175</c:v>
                </c:pt>
              </c:numCache>
            </c:numRef>
          </c:yVal>
          <c:smooth val="1"/>
        </c:ser>
        <c:ser>
          <c:idx val="1"/>
          <c:order val="3"/>
          <c:tx>
            <c:v>1750 rpm</c:v>
          </c:tx>
          <c:xVal>
            <c:numRef>
              <c:f>Test!$I$25:$I$33</c:f>
              <c:numCache>
                <c:formatCode>General</c:formatCode>
                <c:ptCount val="9"/>
                <c:pt idx="0">
                  <c:v>3.4035567502408479E-2</c:v>
                </c:pt>
                <c:pt idx="1">
                  <c:v>0.11589248316168901</c:v>
                </c:pt>
                <c:pt idx="2">
                  <c:v>0.18880497385828435</c:v>
                </c:pt>
                <c:pt idx="3">
                  <c:v>0.28063458188159984</c:v>
                </c:pt>
                <c:pt idx="4">
                  <c:v>0.3641005231578357</c:v>
                </c:pt>
                <c:pt idx="5">
                  <c:v>0.46263916843029157</c:v>
                </c:pt>
                <c:pt idx="6">
                  <c:v>0.52578812052243806</c:v>
                </c:pt>
                <c:pt idx="7">
                  <c:v>0.55239917095062097</c:v>
                </c:pt>
                <c:pt idx="8">
                  <c:v>0.58617255487648023</c:v>
                </c:pt>
              </c:numCache>
            </c:numRef>
          </c:xVal>
          <c:yVal>
            <c:numRef>
              <c:f>Test!$J$25:$J$33</c:f>
              <c:numCache>
                <c:formatCode>General</c:formatCode>
                <c:ptCount val="9"/>
                <c:pt idx="0">
                  <c:v>625.75961632627047</c:v>
                </c:pt>
                <c:pt idx="1">
                  <c:v>578.77307012878077</c:v>
                </c:pt>
                <c:pt idx="2">
                  <c:v>546.86494294861666</c:v>
                </c:pt>
                <c:pt idx="3">
                  <c:v>512.45848806789149</c:v>
                </c:pt>
                <c:pt idx="4">
                  <c:v>480.6325034033357</c:v>
                </c:pt>
                <c:pt idx="5">
                  <c:v>441.77873306982127</c:v>
                </c:pt>
                <c:pt idx="6">
                  <c:v>408.86422583763829</c:v>
                </c:pt>
                <c:pt idx="7">
                  <c:v>392.1334663833137</c:v>
                </c:pt>
                <c:pt idx="8">
                  <c:v>369.20230707017839</c:v>
                </c:pt>
              </c:numCache>
            </c:numRef>
          </c:yVal>
          <c:smooth val="1"/>
        </c:ser>
        <c:ser>
          <c:idx val="5"/>
          <c:order val="4"/>
          <c:tx>
            <c:v>1900 rpm</c:v>
          </c:tx>
          <c:xVal>
            <c:numRef>
              <c:f>Test!$I$14:$I$22</c:f>
              <c:numCache>
                <c:formatCode>General</c:formatCode>
                <c:ptCount val="9"/>
                <c:pt idx="0">
                  <c:v>3.6965059433185787E-2</c:v>
                </c:pt>
                <c:pt idx="1">
                  <c:v>0.12372321836071247</c:v>
                </c:pt>
                <c:pt idx="2">
                  <c:v>0.1961670064647642</c:v>
                </c:pt>
                <c:pt idx="3">
                  <c:v>0.29079439167019094</c:v>
                </c:pt>
                <c:pt idx="4">
                  <c:v>0.41106963640765193</c:v>
                </c:pt>
                <c:pt idx="5">
                  <c:v>0.50382133930904827</c:v>
                </c:pt>
                <c:pt idx="6">
                  <c:v>0.55603978799009712</c:v>
                </c:pt>
                <c:pt idx="7">
                  <c:v>0.58900650589364878</c:v>
                </c:pt>
                <c:pt idx="8">
                  <c:v>0.62590527931070106</c:v>
                </c:pt>
              </c:numCache>
            </c:numRef>
          </c:xVal>
          <c:yVal>
            <c:numRef>
              <c:f>Test!$J$14:$J$22</c:f>
              <c:numCache>
                <c:formatCode>General</c:formatCode>
                <c:ptCount val="9"/>
                <c:pt idx="0">
                  <c:v>730.74211427928765</c:v>
                </c:pt>
                <c:pt idx="1">
                  <c:v>675.48831790148722</c:v>
                </c:pt>
                <c:pt idx="2">
                  <c:v>640.6135309318297</c:v>
                </c:pt>
                <c:pt idx="3">
                  <c:v>602.57943328510066</c:v>
                </c:pt>
                <c:pt idx="4">
                  <c:v>553.85078695269328</c:v>
                </c:pt>
                <c:pt idx="5">
                  <c:v>512.37732323611522</c:v>
                </c:pt>
                <c:pt idx="6">
                  <c:v>483.35155504472266</c:v>
                </c:pt>
                <c:pt idx="7">
                  <c:v>457.89022596822343</c:v>
                </c:pt>
                <c:pt idx="8">
                  <c:v>430.11511908458772</c:v>
                </c:pt>
              </c:numCache>
            </c:numRef>
          </c:yVal>
          <c:smooth val="1"/>
        </c:ser>
        <c:ser>
          <c:idx val="4"/>
          <c:order val="5"/>
          <c:tx>
            <c:v>2000 rpm</c:v>
          </c:tx>
          <c:xVal>
            <c:numRef>
              <c:f>Test!$I$3:$I$11</c:f>
              <c:numCache>
                <c:formatCode>General</c:formatCode>
                <c:ptCount val="9"/>
                <c:pt idx="0">
                  <c:v>4.1972103192808127E-2</c:v>
                </c:pt>
                <c:pt idx="1">
                  <c:v>0.12380159320859831</c:v>
                </c:pt>
                <c:pt idx="2">
                  <c:v>0.2174780161853071</c:v>
                </c:pt>
                <c:pt idx="3">
                  <c:v>0.32643685710973008</c:v>
                </c:pt>
                <c:pt idx="4">
                  <c:v>0.42054776346190914</c:v>
                </c:pt>
                <c:pt idx="5">
                  <c:v>0.51209355717891791</c:v>
                </c:pt>
                <c:pt idx="6">
                  <c:v>0.590274396873261</c:v>
                </c:pt>
                <c:pt idx="7">
                  <c:v>0.62746255053927924</c:v>
                </c:pt>
                <c:pt idx="8">
                  <c:v>0.66639599596117505</c:v>
                </c:pt>
              </c:numCache>
            </c:numRef>
          </c:xVal>
          <c:yVal>
            <c:numRef>
              <c:f>Test!$J$3:$J$11</c:f>
              <c:numCache>
                <c:formatCode>General</c:formatCode>
                <c:ptCount val="9"/>
                <c:pt idx="0">
                  <c:v>810.38243336453229</c:v>
                </c:pt>
                <c:pt idx="1">
                  <c:v>753.49212925584163</c:v>
                </c:pt>
                <c:pt idx="2">
                  <c:v>706.36332451365718</c:v>
                </c:pt>
                <c:pt idx="3">
                  <c:v>659.58106809357923</c:v>
                </c:pt>
                <c:pt idx="4">
                  <c:v>620.09128581079528</c:v>
                </c:pt>
                <c:pt idx="5">
                  <c:v>578.90520632083974</c:v>
                </c:pt>
                <c:pt idx="6">
                  <c:v>534.15320341847291</c:v>
                </c:pt>
                <c:pt idx="7">
                  <c:v>507.83093895780956</c:v>
                </c:pt>
                <c:pt idx="8">
                  <c:v>478.27843363109753</c:v>
                </c:pt>
              </c:numCache>
            </c:numRef>
          </c:yVal>
          <c:smooth val="1"/>
        </c:ser>
        <c:axId val="45315968"/>
        <c:axId val="45326336"/>
      </c:scatterChart>
      <c:valAx>
        <c:axId val="45315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General" sourceLinked="1"/>
        <c:tickLblPos val="nextTo"/>
        <c:crossAx val="45326336"/>
        <c:crosses val="autoZero"/>
        <c:crossBetween val="midCat"/>
      </c:valAx>
      <c:valAx>
        <c:axId val="4532633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P_stat [Pa]</a:t>
                </a:r>
              </a:p>
            </c:rich>
          </c:tx>
          <c:layout/>
        </c:title>
        <c:numFmt formatCode="General" sourceLinked="1"/>
        <c:tickLblPos val="nextTo"/>
        <c:crossAx val="45315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2667191188040922E-2"/>
          <c:h val="0.18959801727563641"/>
        </c:manualLayout>
      </c:layout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7.2564351957972534E-2"/>
          <c:y val="4.4461454548257014E-2"/>
          <c:w val="0.799290615817004"/>
          <c:h val="0.85791887261037281"/>
        </c:manualLayout>
      </c:layout>
      <c:scatterChart>
        <c:scatterStyle val="smoothMarker"/>
        <c:ser>
          <c:idx val="0"/>
          <c:order val="0"/>
          <c:tx>
            <c:v>1350 rpm</c:v>
          </c:tx>
          <c:xVal>
            <c:numRef>
              <c:f>Test!$I$58:$I$66</c:f>
              <c:numCache>
                <c:formatCode>General</c:formatCode>
                <c:ptCount val="9"/>
                <c:pt idx="0">
                  <c:v>6.0670000139979349E-2</c:v>
                </c:pt>
                <c:pt idx="1">
                  <c:v>0.10467117743444483</c:v>
                </c:pt>
                <c:pt idx="2">
                  <c:v>0.14970281219504983</c:v>
                </c:pt>
                <c:pt idx="3">
                  <c:v>0.21289528705880961</c:v>
                </c:pt>
                <c:pt idx="4">
                  <c:v>0.29533536971983737</c:v>
                </c:pt>
                <c:pt idx="5">
                  <c:v>0.36079990675623808</c:v>
                </c:pt>
                <c:pt idx="6">
                  <c:v>0.39805588007893533</c:v>
                </c:pt>
                <c:pt idx="7">
                  <c:v>0.42721614195075319</c:v>
                </c:pt>
                <c:pt idx="8">
                  <c:v>0.4554293735226782</c:v>
                </c:pt>
              </c:numCache>
            </c:numRef>
          </c:xVal>
          <c:yVal>
            <c:numRef>
              <c:f>Test!$H$58:$H$66</c:f>
              <c:numCache>
                <c:formatCode>General</c:formatCode>
                <c:ptCount val="9"/>
                <c:pt idx="0">
                  <c:v>0.21199999999999999</c:v>
                </c:pt>
                <c:pt idx="1">
                  <c:v>0.26</c:v>
                </c:pt>
                <c:pt idx="2">
                  <c:v>0.313</c:v>
                </c:pt>
                <c:pt idx="3">
                  <c:v>0.37</c:v>
                </c:pt>
                <c:pt idx="4">
                  <c:v>0.41799999999999998</c:v>
                </c:pt>
                <c:pt idx="5">
                  <c:v>0.44400000000000001</c:v>
                </c:pt>
                <c:pt idx="6">
                  <c:v>0.45200000000000001</c:v>
                </c:pt>
                <c:pt idx="7">
                  <c:v>0.45300000000000001</c:v>
                </c:pt>
                <c:pt idx="8">
                  <c:v>0.44800000000000001</c:v>
                </c:pt>
              </c:numCache>
            </c:numRef>
          </c:yVal>
          <c:smooth val="1"/>
        </c:ser>
        <c:ser>
          <c:idx val="2"/>
          <c:order val="1"/>
          <c:tx>
            <c:v>1480 rpm</c:v>
          </c:tx>
          <c:xVal>
            <c:numRef>
              <c:f>Test!$I$47:$I$55</c:f>
              <c:numCache>
                <c:formatCode>General</c:formatCode>
                <c:ptCount val="9"/>
                <c:pt idx="0">
                  <c:v>6.1665672059052816E-2</c:v>
                </c:pt>
                <c:pt idx="1">
                  <c:v>0.1136730364081153</c:v>
                </c:pt>
                <c:pt idx="2">
                  <c:v>0.16275443874208712</c:v>
                </c:pt>
                <c:pt idx="3">
                  <c:v>0.24112023427898507</c:v>
                </c:pt>
                <c:pt idx="4">
                  <c:v>0.31870848033804877</c:v>
                </c:pt>
                <c:pt idx="5">
                  <c:v>0.38737964737928116</c:v>
                </c:pt>
                <c:pt idx="6">
                  <c:v>0.44088567996905687</c:v>
                </c:pt>
                <c:pt idx="7">
                  <c:v>0.46898399241656769</c:v>
                </c:pt>
                <c:pt idx="8">
                  <c:v>0.49734153772626805</c:v>
                </c:pt>
              </c:numCache>
            </c:numRef>
          </c:xVal>
          <c:yVal>
            <c:numRef>
              <c:f>Test!$H$47:$H$55</c:f>
              <c:numCache>
                <c:formatCode>General</c:formatCode>
                <c:ptCount val="9"/>
                <c:pt idx="0">
                  <c:v>0.2</c:v>
                </c:pt>
                <c:pt idx="1">
                  <c:v>0.26100000000000001</c:v>
                </c:pt>
                <c:pt idx="2">
                  <c:v>0.316</c:v>
                </c:pt>
                <c:pt idx="3">
                  <c:v>0.38</c:v>
                </c:pt>
                <c:pt idx="4">
                  <c:v>0.42</c:v>
                </c:pt>
                <c:pt idx="5">
                  <c:v>0.44500000000000001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0.45100000000000001</c:v>
                </c:pt>
              </c:numCache>
            </c:numRef>
          </c:yVal>
          <c:smooth val="1"/>
        </c:ser>
        <c:ser>
          <c:idx val="3"/>
          <c:order val="2"/>
          <c:tx>
            <c:v>1600 rpm</c:v>
          </c:tx>
          <c:xVal>
            <c:numRef>
              <c:f>Test!$I$36:$I$44</c:f>
              <c:numCache>
                <c:formatCode>General</c:formatCode>
                <c:ptCount val="9"/>
                <c:pt idx="0">
                  <c:v>6.2427152838763295E-2</c:v>
                </c:pt>
                <c:pt idx="1">
                  <c:v>0.12628852203896299</c:v>
                </c:pt>
                <c:pt idx="2">
                  <c:v>0.18032243843757081</c:v>
                </c:pt>
                <c:pt idx="3">
                  <c:v>0.25863952116737299</c:v>
                </c:pt>
                <c:pt idx="4">
                  <c:v>0.35040756780230009</c:v>
                </c:pt>
                <c:pt idx="5">
                  <c:v>0.41715290634491076</c:v>
                </c:pt>
                <c:pt idx="6">
                  <c:v>0.48080482109719358</c:v>
                </c:pt>
                <c:pt idx="7">
                  <c:v>0.50599678983187402</c:v>
                </c:pt>
                <c:pt idx="8">
                  <c:v>0.5372362458734482</c:v>
                </c:pt>
              </c:numCache>
            </c:numRef>
          </c:xVal>
          <c:yVal>
            <c:numRef>
              <c:f>Test!$H$36:$H$44</c:f>
              <c:numCache>
                <c:formatCode>General</c:formatCode>
                <c:ptCount val="9"/>
                <c:pt idx="0">
                  <c:v>0.19</c:v>
                </c:pt>
                <c:pt idx="1">
                  <c:v>0.26600000000000001</c:v>
                </c:pt>
                <c:pt idx="2">
                  <c:v>0.32300000000000001</c:v>
                </c:pt>
                <c:pt idx="3">
                  <c:v>0.38200000000000001</c:v>
                </c:pt>
                <c:pt idx="4">
                  <c:v>0.42499999999999999</c:v>
                </c:pt>
                <c:pt idx="5">
                  <c:v>0.44800000000000001</c:v>
                </c:pt>
                <c:pt idx="6">
                  <c:v>0.45800000000000002</c:v>
                </c:pt>
                <c:pt idx="7">
                  <c:v>0.45700000000000002</c:v>
                </c:pt>
                <c:pt idx="8">
                  <c:v>0.45300000000000001</c:v>
                </c:pt>
              </c:numCache>
            </c:numRef>
          </c:yVal>
          <c:smooth val="1"/>
        </c:ser>
        <c:ser>
          <c:idx val="1"/>
          <c:order val="3"/>
          <c:tx>
            <c:v>1750 rpm</c:v>
          </c:tx>
          <c:xVal>
            <c:numRef>
              <c:f>Test!$I$25:$I$33</c:f>
              <c:numCache>
                <c:formatCode>General</c:formatCode>
                <c:ptCount val="9"/>
                <c:pt idx="0">
                  <c:v>3.4035567502408479E-2</c:v>
                </c:pt>
                <c:pt idx="1">
                  <c:v>0.11589248316168901</c:v>
                </c:pt>
                <c:pt idx="2">
                  <c:v>0.18880497385828435</c:v>
                </c:pt>
                <c:pt idx="3">
                  <c:v>0.28063458188159984</c:v>
                </c:pt>
                <c:pt idx="4">
                  <c:v>0.3641005231578357</c:v>
                </c:pt>
                <c:pt idx="5">
                  <c:v>0.46263916843029157</c:v>
                </c:pt>
                <c:pt idx="6">
                  <c:v>0.52578812052243806</c:v>
                </c:pt>
                <c:pt idx="7">
                  <c:v>0.55239917095062097</c:v>
                </c:pt>
                <c:pt idx="8">
                  <c:v>0.58617255487648023</c:v>
                </c:pt>
              </c:numCache>
            </c:numRef>
          </c:xVal>
          <c:yVal>
            <c:numRef>
              <c:f>Test!$H$25:$H$33</c:f>
              <c:numCache>
                <c:formatCode>General</c:formatCode>
                <c:ptCount val="9"/>
                <c:pt idx="0">
                  <c:v>9.622E-2</c:v>
                </c:pt>
                <c:pt idx="1">
                  <c:v>0.23050999999999999</c:v>
                </c:pt>
                <c:pt idx="2">
                  <c:v>0.30930000000000002</c:v>
                </c:pt>
                <c:pt idx="3">
                  <c:v>0.37596000000000002</c:v>
                </c:pt>
                <c:pt idx="4">
                  <c:v>0.41289999999999999</c:v>
                </c:pt>
                <c:pt idx="5">
                  <c:v>0.44235999999999998</c:v>
                </c:pt>
                <c:pt idx="6">
                  <c:v>0.45019999999999999</c:v>
                </c:pt>
                <c:pt idx="7">
                  <c:v>0.44947999999999999</c:v>
                </c:pt>
                <c:pt idx="8">
                  <c:v>0.44563999999999998</c:v>
                </c:pt>
              </c:numCache>
            </c:numRef>
          </c:yVal>
          <c:smooth val="1"/>
        </c:ser>
        <c:ser>
          <c:idx val="5"/>
          <c:order val="4"/>
          <c:tx>
            <c:v>1900 rpm</c:v>
          </c:tx>
          <c:xVal>
            <c:numRef>
              <c:f>Test!$I$14:$I$22</c:f>
              <c:numCache>
                <c:formatCode>General</c:formatCode>
                <c:ptCount val="9"/>
                <c:pt idx="0">
                  <c:v>3.6965059433185787E-2</c:v>
                </c:pt>
                <c:pt idx="1">
                  <c:v>0.12372321836071247</c:v>
                </c:pt>
                <c:pt idx="2">
                  <c:v>0.1961670064647642</c:v>
                </c:pt>
                <c:pt idx="3">
                  <c:v>0.29079439167019094</c:v>
                </c:pt>
                <c:pt idx="4">
                  <c:v>0.41106963640765193</c:v>
                </c:pt>
                <c:pt idx="5">
                  <c:v>0.50382133930904827</c:v>
                </c:pt>
                <c:pt idx="6">
                  <c:v>0.55603978799009712</c:v>
                </c:pt>
                <c:pt idx="7">
                  <c:v>0.58900650589364878</c:v>
                </c:pt>
                <c:pt idx="8">
                  <c:v>0.62590527931070106</c:v>
                </c:pt>
              </c:numCache>
            </c:numRef>
          </c:xVal>
          <c:yVal>
            <c:numRef>
              <c:f>Test!$H$14:$H$22</c:f>
              <c:numCache>
                <c:formatCode>General</c:formatCode>
                <c:ptCount val="9"/>
                <c:pt idx="0">
                  <c:v>9.7030000000000005E-2</c:v>
                </c:pt>
                <c:pt idx="1">
                  <c:v>0.22805</c:v>
                </c:pt>
                <c:pt idx="2">
                  <c:v>0.30401</c:v>
                </c:pt>
                <c:pt idx="3">
                  <c:v>0.37129000000000001</c:v>
                </c:pt>
                <c:pt idx="4">
                  <c:v>0.42159999999999997</c:v>
                </c:pt>
                <c:pt idx="5">
                  <c:v>0.44517000000000001</c:v>
                </c:pt>
                <c:pt idx="6">
                  <c:v>0.45190999999999998</c:v>
                </c:pt>
                <c:pt idx="7">
                  <c:v>0.44811000000000001</c:v>
                </c:pt>
                <c:pt idx="8">
                  <c:v>0.44330000000000003</c:v>
                </c:pt>
              </c:numCache>
            </c:numRef>
          </c:yVal>
          <c:smooth val="1"/>
        </c:ser>
        <c:ser>
          <c:idx val="4"/>
          <c:order val="5"/>
          <c:tx>
            <c:v>2000 rpm</c:v>
          </c:tx>
          <c:xVal>
            <c:numRef>
              <c:f>Test!$I$3:$I$11</c:f>
              <c:numCache>
                <c:formatCode>General</c:formatCode>
                <c:ptCount val="9"/>
                <c:pt idx="0">
                  <c:v>4.1972103192808127E-2</c:v>
                </c:pt>
                <c:pt idx="1">
                  <c:v>0.12380159320859831</c:v>
                </c:pt>
                <c:pt idx="2">
                  <c:v>0.2174780161853071</c:v>
                </c:pt>
                <c:pt idx="3">
                  <c:v>0.32643685710973008</c:v>
                </c:pt>
                <c:pt idx="4">
                  <c:v>0.42054776346190914</c:v>
                </c:pt>
                <c:pt idx="5">
                  <c:v>0.51209355717891791</c:v>
                </c:pt>
                <c:pt idx="6">
                  <c:v>0.590274396873261</c:v>
                </c:pt>
                <c:pt idx="7">
                  <c:v>0.62746255053927924</c:v>
                </c:pt>
                <c:pt idx="8">
                  <c:v>0.66639599596117505</c:v>
                </c:pt>
              </c:numCache>
            </c:numRef>
          </c:xVal>
          <c:yVal>
            <c:numRef>
              <c:f>Test!$H$3:$H$11</c:f>
              <c:numCache>
                <c:formatCode>General</c:formatCode>
                <c:ptCount val="9"/>
                <c:pt idx="0">
                  <c:v>0.10199999999999999</c:v>
                </c:pt>
                <c:pt idx="1">
                  <c:v>0.223</c:v>
                </c:pt>
                <c:pt idx="2">
                  <c:v>0.313</c:v>
                </c:pt>
                <c:pt idx="3">
                  <c:v>0.38200000000000001</c:v>
                </c:pt>
                <c:pt idx="4">
                  <c:v>0.41899999999999998</c:v>
                </c:pt>
                <c:pt idx="5">
                  <c:v>0.44400000000000001</c:v>
                </c:pt>
                <c:pt idx="6">
                  <c:v>0.45500000000000002</c:v>
                </c:pt>
                <c:pt idx="7">
                  <c:v>0.45500000000000002</c:v>
                </c:pt>
                <c:pt idx="8">
                  <c:v>0.45200000000000001</c:v>
                </c:pt>
              </c:numCache>
            </c:numRef>
          </c:yVal>
          <c:smooth val="1"/>
        </c:ser>
        <c:axId val="45350272"/>
        <c:axId val="45356544"/>
      </c:scatterChart>
      <c:valAx>
        <c:axId val="45350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[m^3/s]</a:t>
                </a:r>
              </a:p>
            </c:rich>
          </c:tx>
          <c:layout/>
        </c:title>
        <c:numFmt formatCode="General" sourceLinked="1"/>
        <c:tickLblPos val="nextTo"/>
        <c:crossAx val="45356544"/>
        <c:crosses val="autoZero"/>
        <c:crossBetween val="midCat"/>
      </c:valAx>
      <c:valAx>
        <c:axId val="4535654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b-NO"/>
                  <a:t>Virknings</a:t>
                </a:r>
              </a:p>
              <a:p>
                <a:pPr>
                  <a:defRPr/>
                </a:pPr>
                <a:r>
                  <a:rPr lang="nb-NO"/>
                  <a:t>grad</a:t>
                </a:r>
              </a:p>
            </c:rich>
          </c:tx>
          <c:layout>
            <c:manualLayout>
              <c:xMode val="edge"/>
              <c:yMode val="edge"/>
              <c:x val="0"/>
              <c:y val="0.40228942910263332"/>
            </c:manualLayout>
          </c:layout>
        </c:title>
        <c:numFmt formatCode="General" sourceLinked="1"/>
        <c:tickLblPos val="nextTo"/>
        <c:crossAx val="45350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531860543395859"/>
          <c:y val="2.7598748193345332E-2"/>
          <c:w val="7.2667191188040922E-2"/>
          <c:h val="0.18959801727563641"/>
        </c:manualLayout>
      </c:layout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582388</xdr:colOff>
      <xdr:row>45</xdr:row>
      <xdr:rowOff>176894</xdr:rowOff>
    </xdr:from>
    <xdr:to>
      <xdr:col>43</xdr:col>
      <xdr:colOff>496663</xdr:colOff>
      <xdr:row>85</xdr:row>
      <xdr:rowOff>14970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122463</xdr:colOff>
      <xdr:row>36</xdr:row>
      <xdr:rowOff>136074</xdr:rowOff>
    </xdr:from>
    <xdr:to>
      <xdr:col>39</xdr:col>
      <xdr:colOff>217714</xdr:colOff>
      <xdr:row>72</xdr:row>
      <xdr:rowOff>122467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585105</xdr:colOff>
      <xdr:row>52</xdr:row>
      <xdr:rowOff>54429</xdr:rowOff>
    </xdr:from>
    <xdr:to>
      <xdr:col>40</xdr:col>
      <xdr:colOff>707570</xdr:colOff>
      <xdr:row>89</xdr:row>
      <xdr:rowOff>81643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X87"/>
  <sheetViews>
    <sheetView topLeftCell="A22" zoomScale="70" zoomScaleNormal="70" workbookViewId="0">
      <selection activeCell="O56" sqref="O56:Q57"/>
    </sheetView>
  </sheetViews>
  <sheetFormatPr baseColWidth="10" defaultRowHeight="15"/>
  <cols>
    <col min="21" max="22" width="12.5703125" bestFit="1" customWidth="1"/>
  </cols>
  <sheetData>
    <row r="2" spans="1:22">
      <c r="A2" t="s">
        <v>62</v>
      </c>
      <c r="B2" t="s">
        <v>63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12</v>
      </c>
      <c r="J2" t="s">
        <v>13</v>
      </c>
      <c r="K2" t="s">
        <v>6</v>
      </c>
      <c r="L2" t="s">
        <v>7</v>
      </c>
      <c r="M2" t="s">
        <v>8</v>
      </c>
      <c r="N2" t="s">
        <v>16</v>
      </c>
      <c r="O2" t="s">
        <v>96</v>
      </c>
      <c r="P2" t="s">
        <v>97</v>
      </c>
      <c r="Q2" t="s">
        <v>98</v>
      </c>
      <c r="R2" t="s">
        <v>9</v>
      </c>
    </row>
    <row r="3" spans="1:22">
      <c r="A3">
        <v>19.713200000000001</v>
      </c>
      <c r="B3">
        <v>101300</v>
      </c>
      <c r="C3">
        <v>1.2050000000000001</v>
      </c>
      <c r="D3">
        <v>850.56100000000004</v>
      </c>
      <c r="E3">
        <v>4.2999999999999997E-2</v>
      </c>
      <c r="F3">
        <v>1.661</v>
      </c>
      <c r="G3">
        <v>2048.98</v>
      </c>
      <c r="H3">
        <v>0.10199999999999999</v>
      </c>
      <c r="I3">
        <f t="shared" ref="I3:I11" si="0">E3*2000/G3</f>
        <v>4.1972103192808127E-2</v>
      </c>
      <c r="J3">
        <f t="shared" ref="J3:J11" si="1">D3*(2000/G3)^2</f>
        <v>810.38243336453229</v>
      </c>
      <c r="K3">
        <v>0.63500000000000001</v>
      </c>
      <c r="L3">
        <v>64.5</v>
      </c>
      <c r="M3">
        <v>75</v>
      </c>
      <c r="N3">
        <f t="shared" ref="N3:N11" si="2">(E3*C3*4*SQRT(1-(0.215/0.3)^4)/(K3*PI()*0.215^2))^2*C3/2</f>
        <v>2.2407064056328747</v>
      </c>
      <c r="O3">
        <v>6.7400000000000003E-3</v>
      </c>
      <c r="P3">
        <v>2.8482933333333336E-3</v>
      </c>
      <c r="Q3">
        <v>0.19539392010186216</v>
      </c>
      <c r="R3">
        <v>90</v>
      </c>
      <c r="V3" s="41"/>
    </row>
    <row r="4" spans="1:22">
      <c r="A4">
        <v>19.713200000000001</v>
      </c>
      <c r="B4">
        <v>101300</v>
      </c>
      <c r="C4">
        <v>1.2050000000000001</v>
      </c>
      <c r="D4">
        <v>780.49</v>
      </c>
      <c r="E4">
        <v>0.126</v>
      </c>
      <c r="F4">
        <v>2.0640000000000001</v>
      </c>
      <c r="G4">
        <v>2035.5150000000001</v>
      </c>
      <c r="H4">
        <v>0.223</v>
      </c>
      <c r="I4">
        <f t="shared" si="0"/>
        <v>0.12380159320859831</v>
      </c>
      <c r="J4">
        <f t="shared" si="1"/>
        <v>753.49212925584163</v>
      </c>
      <c r="K4">
        <v>0.61699999999999999</v>
      </c>
      <c r="L4">
        <v>7.2</v>
      </c>
      <c r="M4">
        <v>75</v>
      </c>
      <c r="N4">
        <f t="shared" si="2"/>
        <v>20.378220506384</v>
      </c>
      <c r="O4">
        <v>4.9100000000000003E-3</v>
      </c>
      <c r="P4">
        <v>2.9425383333333333E-3</v>
      </c>
      <c r="Q4">
        <v>0.24954957822696164</v>
      </c>
      <c r="R4">
        <v>60</v>
      </c>
      <c r="V4" s="41"/>
    </row>
    <row r="5" spans="1:22">
      <c r="A5">
        <v>19.713200000000001</v>
      </c>
      <c r="B5">
        <v>101300</v>
      </c>
      <c r="C5">
        <v>1.2050000000000001</v>
      </c>
      <c r="D5">
        <v>722.84100000000001</v>
      </c>
      <c r="E5">
        <v>0.22</v>
      </c>
      <c r="F5">
        <v>2.3919999999999999</v>
      </c>
      <c r="G5">
        <v>2023.193</v>
      </c>
      <c r="H5">
        <v>0.313</v>
      </c>
      <c r="I5">
        <f t="shared" si="0"/>
        <v>0.2174780161853071</v>
      </c>
      <c r="J5">
        <f t="shared" si="1"/>
        <v>706.36332451365718</v>
      </c>
      <c r="K5">
        <v>0.61199999999999999</v>
      </c>
      <c r="L5">
        <v>2.5</v>
      </c>
      <c r="M5">
        <v>75</v>
      </c>
      <c r="N5">
        <f t="shared" si="2"/>
        <v>63.144861130991345</v>
      </c>
      <c r="O5">
        <v>6.1199999999999996E-3</v>
      </c>
      <c r="P5">
        <v>2.9844250000000002E-3</v>
      </c>
      <c r="Q5">
        <v>0.23966576476205637</v>
      </c>
      <c r="R5">
        <v>50</v>
      </c>
      <c r="V5" s="41"/>
    </row>
    <row r="6" spans="1:22">
      <c r="A6">
        <v>19.713200000000001</v>
      </c>
      <c r="B6">
        <v>101300</v>
      </c>
      <c r="C6">
        <v>1.2050000000000001</v>
      </c>
      <c r="D6">
        <v>665.91300000000001</v>
      </c>
      <c r="E6">
        <v>0.32800000000000001</v>
      </c>
      <c r="F6">
        <v>2.7189999999999999</v>
      </c>
      <c r="G6">
        <v>2009.577</v>
      </c>
      <c r="H6">
        <v>0.38200000000000001</v>
      </c>
      <c r="I6">
        <f t="shared" si="0"/>
        <v>0.32643685710973008</v>
      </c>
      <c r="J6">
        <f t="shared" si="1"/>
        <v>659.58106809357923</v>
      </c>
      <c r="K6">
        <v>0.60899999999999999</v>
      </c>
      <c r="L6">
        <v>1.4</v>
      </c>
      <c r="M6">
        <v>75</v>
      </c>
      <c r="N6">
        <f t="shared" si="2"/>
        <v>141.74527710305608</v>
      </c>
      <c r="O6">
        <v>4.3099999999999996E-3</v>
      </c>
      <c r="P6">
        <v>4.6808350000000004E-3</v>
      </c>
      <c r="Q6">
        <v>0.20490530001591595</v>
      </c>
      <c r="R6">
        <v>40</v>
      </c>
      <c r="V6" s="41"/>
    </row>
    <row r="7" spans="1:22">
      <c r="A7">
        <v>19.713200000000001</v>
      </c>
      <c r="B7">
        <v>101300</v>
      </c>
      <c r="C7">
        <v>1.2050000000000001</v>
      </c>
      <c r="D7">
        <v>618.47699999999998</v>
      </c>
      <c r="E7">
        <v>0.42</v>
      </c>
      <c r="F7">
        <v>2.968</v>
      </c>
      <c r="G7">
        <v>1997.395</v>
      </c>
      <c r="H7">
        <v>0.41899999999999998</v>
      </c>
      <c r="I7">
        <f t="shared" si="0"/>
        <v>0.42054776346190914</v>
      </c>
      <c r="J7">
        <f t="shared" si="1"/>
        <v>620.09128581079528</v>
      </c>
      <c r="K7">
        <v>0.60799999999999998</v>
      </c>
      <c r="L7">
        <v>1.1000000000000001</v>
      </c>
      <c r="M7">
        <v>75</v>
      </c>
      <c r="N7">
        <f t="shared" si="2"/>
        <v>233.17764800091183</v>
      </c>
      <c r="O7">
        <v>4.4400000000000004E-3</v>
      </c>
      <c r="P7">
        <v>8.1260133333333345E-3</v>
      </c>
      <c r="Q7">
        <v>0.17060321502466974</v>
      </c>
      <c r="R7">
        <v>30</v>
      </c>
      <c r="V7" s="41"/>
    </row>
    <row r="8" spans="1:22">
      <c r="A8">
        <v>19.713200000000001</v>
      </c>
      <c r="B8">
        <v>101300</v>
      </c>
      <c r="C8">
        <v>1.2050000000000001</v>
      </c>
      <c r="D8">
        <v>571.93200000000002</v>
      </c>
      <c r="E8">
        <v>0.50900000000000001</v>
      </c>
      <c r="F8">
        <v>3.153</v>
      </c>
      <c r="G8">
        <v>1987.9179999999999</v>
      </c>
      <c r="H8">
        <v>0.44400000000000001</v>
      </c>
      <c r="I8">
        <f t="shared" si="0"/>
        <v>0.51209355717891791</v>
      </c>
      <c r="J8">
        <f t="shared" si="1"/>
        <v>578.90520632083974</v>
      </c>
      <c r="K8">
        <v>0.60699999999999998</v>
      </c>
      <c r="L8">
        <v>1</v>
      </c>
      <c r="M8">
        <v>75</v>
      </c>
      <c r="N8">
        <f t="shared" si="2"/>
        <v>343.60041337829068</v>
      </c>
      <c r="O8">
        <v>5.4400000000000004E-3</v>
      </c>
      <c r="P8">
        <v>8.2307300000000003E-3</v>
      </c>
      <c r="Q8">
        <v>0.15289829699188287</v>
      </c>
      <c r="R8">
        <v>20</v>
      </c>
      <c r="V8" s="41"/>
    </row>
    <row r="9" spans="1:22">
      <c r="A9">
        <v>19.713200000000001</v>
      </c>
      <c r="B9">
        <v>101300</v>
      </c>
      <c r="C9">
        <v>1.2050000000000001</v>
      </c>
      <c r="D9">
        <v>524.65</v>
      </c>
      <c r="E9">
        <v>0.58499999999999996</v>
      </c>
      <c r="F9">
        <v>3.2509999999999999</v>
      </c>
      <c r="G9">
        <v>1982.1289999999999</v>
      </c>
      <c r="H9">
        <v>0.45500000000000002</v>
      </c>
      <c r="I9">
        <f t="shared" si="0"/>
        <v>0.590274396873261</v>
      </c>
      <c r="J9">
        <f t="shared" si="1"/>
        <v>534.15320341847291</v>
      </c>
      <c r="K9">
        <v>0.60599999999999998</v>
      </c>
      <c r="L9">
        <v>0.9</v>
      </c>
      <c r="M9">
        <v>75</v>
      </c>
      <c r="N9">
        <f t="shared" si="2"/>
        <v>455.36744502880271</v>
      </c>
      <c r="O9">
        <v>8.7600000000000004E-3</v>
      </c>
      <c r="P9">
        <v>2.3760211666666666E-2</v>
      </c>
      <c r="Q9">
        <v>0.15536208817443894</v>
      </c>
      <c r="R9">
        <v>10</v>
      </c>
      <c r="V9" s="41"/>
    </row>
    <row r="10" spans="1:22">
      <c r="A10">
        <v>19.713200000000001</v>
      </c>
      <c r="B10">
        <v>101300</v>
      </c>
      <c r="C10">
        <v>1.2050000000000001</v>
      </c>
      <c r="D10">
        <v>497.42399999999998</v>
      </c>
      <c r="E10">
        <v>0.621</v>
      </c>
      <c r="F10">
        <v>3.2770000000000001</v>
      </c>
      <c r="G10">
        <v>1979.4010000000001</v>
      </c>
      <c r="H10">
        <v>0.45500000000000002</v>
      </c>
      <c r="I10">
        <f t="shared" si="0"/>
        <v>0.62746255053927924</v>
      </c>
      <c r="J10">
        <f t="shared" si="1"/>
        <v>507.83093895780956</v>
      </c>
      <c r="K10">
        <v>0.60599999999999998</v>
      </c>
      <c r="L10">
        <v>0.9</v>
      </c>
      <c r="M10">
        <v>75</v>
      </c>
      <c r="N10">
        <f t="shared" si="2"/>
        <v>513.13713746322605</v>
      </c>
      <c r="O10">
        <v>7.3499999999999998E-3</v>
      </c>
      <c r="P10">
        <v>1.7079288333333335E-2</v>
      </c>
      <c r="Q10">
        <v>0.15293649530479067</v>
      </c>
      <c r="R10">
        <v>0</v>
      </c>
      <c r="V10" s="41"/>
    </row>
    <row r="11" spans="1:22">
      <c r="A11">
        <v>19.713200000000001</v>
      </c>
      <c r="B11">
        <v>101300</v>
      </c>
      <c r="C11">
        <v>1.2050000000000001</v>
      </c>
      <c r="D11">
        <v>467.721</v>
      </c>
      <c r="E11">
        <v>0.65900000000000003</v>
      </c>
      <c r="F11">
        <v>3.2919999999999998</v>
      </c>
      <c r="G11">
        <v>1977.8030000000001</v>
      </c>
      <c r="H11">
        <v>0.45200000000000001</v>
      </c>
      <c r="I11">
        <f t="shared" si="0"/>
        <v>0.66639599596117505</v>
      </c>
      <c r="J11">
        <f t="shared" si="1"/>
        <v>478.27843363109753</v>
      </c>
      <c r="K11">
        <v>0.60599999999999998</v>
      </c>
      <c r="L11">
        <v>0.9</v>
      </c>
      <c r="M11">
        <v>75</v>
      </c>
      <c r="N11">
        <f t="shared" si="2"/>
        <v>577.85792795544921</v>
      </c>
      <c r="O11">
        <v>5.8900000000000003E-3</v>
      </c>
      <c r="P11">
        <v>1.7864663333333333E-2</v>
      </c>
      <c r="Q11">
        <v>0.15700461562947635</v>
      </c>
      <c r="R11" t="s">
        <v>10</v>
      </c>
      <c r="V11" s="41"/>
    </row>
    <row r="12" spans="1:22">
      <c r="A12">
        <v>19.635000000000002</v>
      </c>
      <c r="B12">
        <v>101300</v>
      </c>
      <c r="C12">
        <v>1.2053199999999999</v>
      </c>
      <c r="D12">
        <v>493.62607000000003</v>
      </c>
      <c r="E12">
        <v>0.61548000000000003</v>
      </c>
      <c r="F12">
        <v>3.2518699999999998</v>
      </c>
      <c r="G12">
        <v>1971.2370599999999</v>
      </c>
      <c r="H12">
        <v>0.4526</v>
      </c>
      <c r="I12">
        <f t="shared" ref="I12" si="3">E12*2000/G12</f>
        <v>0.62446066228077113</v>
      </c>
      <c r="J12">
        <f t="shared" ref="J12" si="4">D12*(2000/G12)^2</f>
        <v>508.13647269667626</v>
      </c>
      <c r="K12">
        <v>0.60609999999999997</v>
      </c>
      <c r="L12">
        <v>0.9</v>
      </c>
      <c r="M12">
        <v>75</v>
      </c>
      <c r="N12">
        <f>(E12*C12*4*SQRT(1-(0.215/0.3)^4)/(K12*PI()*0.215^2))^2*C12/2</f>
        <v>504.29047503387585</v>
      </c>
      <c r="O12">
        <v>5.0200000000000002E-3</v>
      </c>
      <c r="P12">
        <v>3.5498950000000004E-3</v>
      </c>
      <c r="Q12">
        <v>0.23578863600190991</v>
      </c>
      <c r="R12">
        <v>0</v>
      </c>
      <c r="S12" t="s">
        <v>14</v>
      </c>
      <c r="T12" t="s">
        <v>61</v>
      </c>
      <c r="U12" s="1">
        <f>100*(H10-H12)/H10</f>
        <v>0.52747252747253037</v>
      </c>
      <c r="V12" s="41"/>
    </row>
    <row r="13" spans="1:22">
      <c r="P13">
        <v>0</v>
      </c>
      <c r="Q13">
        <v>0</v>
      </c>
      <c r="R13" t="s">
        <v>11</v>
      </c>
      <c r="V13" s="41"/>
    </row>
    <row r="14" spans="1:22">
      <c r="A14">
        <v>21.968900000000001</v>
      </c>
      <c r="B14">
        <v>101300</v>
      </c>
      <c r="C14">
        <v>1.1957899999999999</v>
      </c>
      <c r="D14">
        <v>758.07344000000001</v>
      </c>
      <c r="E14">
        <v>3.7650000000000003E-2</v>
      </c>
      <c r="F14">
        <v>1.45136</v>
      </c>
      <c r="G14">
        <v>1935.20587</v>
      </c>
      <c r="H14">
        <v>9.7030000000000005E-2</v>
      </c>
      <c r="I14">
        <f>E14*1900/G14</f>
        <v>3.6965059433185787E-2</v>
      </c>
      <c r="J14">
        <f>D14*(1900/G14)^2</f>
        <v>730.74211427928765</v>
      </c>
      <c r="K14">
        <v>0.6381</v>
      </c>
      <c r="L14">
        <v>100</v>
      </c>
      <c r="M14">
        <v>70.650000000000006</v>
      </c>
      <c r="N14">
        <f t="shared" ref="N14:N23" si="5">(E14*C14*4*SQRT(1-(0.215/0.3)^4)/(K14*PI()*0.215^2))^2*C14/2</f>
        <v>1.6624614288790187</v>
      </c>
      <c r="O14">
        <v>6.3800000000000003E-3</v>
      </c>
      <c r="P14">
        <v>2.8797083333333331E-3</v>
      </c>
      <c r="Q14">
        <v>0.21781632977876808</v>
      </c>
      <c r="R14">
        <v>90</v>
      </c>
      <c r="V14" s="41"/>
    </row>
    <row r="15" spans="1:22">
      <c r="A15">
        <v>20.521999999999998</v>
      </c>
      <c r="B15">
        <v>101300</v>
      </c>
      <c r="C15">
        <v>1.2016800000000001</v>
      </c>
      <c r="D15">
        <v>691.48906999999997</v>
      </c>
      <c r="E15">
        <v>0.12518000000000001</v>
      </c>
      <c r="F15">
        <v>1.8855599999999999</v>
      </c>
      <c r="G15">
        <v>1922.37159</v>
      </c>
      <c r="H15">
        <v>0.22805</v>
      </c>
      <c r="I15">
        <f t="shared" ref="I15:I23" si="6">E15*1900/G15</f>
        <v>0.12372321836071247</v>
      </c>
      <c r="J15">
        <f t="shared" ref="J15:J23" si="7">D15*(1900/G15)^2</f>
        <v>675.48831790148722</v>
      </c>
      <c r="K15">
        <v>0.61699999999999999</v>
      </c>
      <c r="L15">
        <v>7.2</v>
      </c>
      <c r="M15">
        <v>70.650000000000006</v>
      </c>
      <c r="N15">
        <f t="shared" si="5"/>
        <v>19.948048713093943</v>
      </c>
      <c r="O15">
        <v>6.7799999999999996E-3</v>
      </c>
      <c r="P15">
        <v>2.8273500000000006E-3</v>
      </c>
      <c r="Q15">
        <v>0.16175075600827629</v>
      </c>
      <c r="R15">
        <v>60</v>
      </c>
      <c r="V15" s="41"/>
    </row>
    <row r="16" spans="1:22">
      <c r="A16">
        <v>20.173300000000001</v>
      </c>
      <c r="B16">
        <v>101300</v>
      </c>
      <c r="C16">
        <v>1.2031099999999999</v>
      </c>
      <c r="D16">
        <v>651.19179999999994</v>
      </c>
      <c r="E16">
        <v>0.19778000000000001</v>
      </c>
      <c r="F16">
        <v>2.1118299999999999</v>
      </c>
      <c r="G16">
        <v>1915.62285</v>
      </c>
      <c r="H16">
        <v>0.30401</v>
      </c>
      <c r="I16">
        <f t="shared" si="6"/>
        <v>0.1961670064647642</v>
      </c>
      <c r="J16">
        <f t="shared" si="7"/>
        <v>640.6135309318297</v>
      </c>
      <c r="K16">
        <v>0.6129</v>
      </c>
      <c r="L16">
        <v>3</v>
      </c>
      <c r="M16">
        <v>70.650000000000006</v>
      </c>
      <c r="N16">
        <f t="shared" si="5"/>
        <v>50.644917326790122</v>
      </c>
      <c r="O16">
        <v>4.0899999999999999E-3</v>
      </c>
      <c r="P16">
        <v>3.361405E-3</v>
      </c>
      <c r="Q16">
        <v>0.14719719879038676</v>
      </c>
      <c r="R16">
        <v>50</v>
      </c>
      <c r="V16" s="41"/>
    </row>
    <row r="17" spans="1:22">
      <c r="A17">
        <v>20.173300000000001</v>
      </c>
      <c r="B17">
        <v>101300</v>
      </c>
      <c r="C17">
        <v>1.2031099999999999</v>
      </c>
      <c r="D17">
        <v>606.75424999999996</v>
      </c>
      <c r="E17">
        <v>0.2918</v>
      </c>
      <c r="F17">
        <v>2.3883899999999998</v>
      </c>
      <c r="G17">
        <v>1906.5704699999999</v>
      </c>
      <c r="H17">
        <v>0.37129000000000001</v>
      </c>
      <c r="I17">
        <f t="shared" si="6"/>
        <v>0.29079439167019094</v>
      </c>
      <c r="J17">
        <f t="shared" si="7"/>
        <v>602.57943328510066</v>
      </c>
      <c r="K17">
        <v>0.61009999999999998</v>
      </c>
      <c r="L17">
        <v>1.6</v>
      </c>
      <c r="M17">
        <v>70.650000000000006</v>
      </c>
      <c r="N17">
        <f t="shared" si="5"/>
        <v>111.25483378916809</v>
      </c>
      <c r="O17">
        <v>6.5500000000000003E-3</v>
      </c>
      <c r="P17">
        <v>5.2463049999999997E-3</v>
      </c>
      <c r="Q17">
        <v>0.12281712557695368</v>
      </c>
      <c r="R17">
        <v>40</v>
      </c>
      <c r="V17" s="41"/>
    </row>
    <row r="18" spans="1:22">
      <c r="A18">
        <v>20.173300000000001</v>
      </c>
      <c r="B18">
        <v>101300</v>
      </c>
      <c r="C18">
        <v>1.2031099999999999</v>
      </c>
      <c r="D18">
        <v>551.07971999999995</v>
      </c>
      <c r="E18">
        <v>0.41004000000000002</v>
      </c>
      <c r="F18">
        <v>2.7005499999999998</v>
      </c>
      <c r="G18">
        <v>1895.2409299999999</v>
      </c>
      <c r="H18">
        <v>0.42159999999999997</v>
      </c>
      <c r="I18">
        <f t="shared" si="6"/>
        <v>0.41106963640765193</v>
      </c>
      <c r="J18">
        <f t="shared" si="7"/>
        <v>553.85078695269328</v>
      </c>
      <c r="K18">
        <v>0.60809999999999997</v>
      </c>
      <c r="L18">
        <v>1.1000000000000001</v>
      </c>
      <c r="M18">
        <v>70.650000000000006</v>
      </c>
      <c r="N18">
        <f t="shared" si="5"/>
        <v>221.13261769492206</v>
      </c>
      <c r="O18">
        <v>4.3499999999999997E-3</v>
      </c>
      <c r="P18">
        <v>1.0377421666666668E-2</v>
      </c>
      <c r="Q18">
        <v>0.10889384052204361</v>
      </c>
      <c r="R18">
        <v>30</v>
      </c>
      <c r="V18" s="41"/>
    </row>
    <row r="19" spans="1:22">
      <c r="A19">
        <v>20.173300000000001</v>
      </c>
      <c r="B19">
        <v>101300</v>
      </c>
      <c r="C19">
        <v>1.2031099999999999</v>
      </c>
      <c r="D19">
        <v>506.00787000000003</v>
      </c>
      <c r="E19">
        <v>0.50068000000000001</v>
      </c>
      <c r="F19">
        <v>2.8782100000000002</v>
      </c>
      <c r="G19">
        <v>1888.15345</v>
      </c>
      <c r="H19">
        <v>0.44517000000000001</v>
      </c>
      <c r="I19">
        <f t="shared" si="6"/>
        <v>0.50382133930904827</v>
      </c>
      <c r="J19">
        <f t="shared" si="7"/>
        <v>512.37732323611522</v>
      </c>
      <c r="K19">
        <v>0.60709999999999997</v>
      </c>
      <c r="L19">
        <v>1</v>
      </c>
      <c r="M19">
        <v>70.650000000000006</v>
      </c>
      <c r="N19">
        <f t="shared" si="5"/>
        <v>330.78848688111202</v>
      </c>
      <c r="O19">
        <v>4.0699999999999998E-3</v>
      </c>
      <c r="P19">
        <v>1.4723163333333332E-2</v>
      </c>
      <c r="Q19">
        <v>0.10379436574884608</v>
      </c>
      <c r="R19">
        <v>20</v>
      </c>
      <c r="V19" s="41"/>
    </row>
    <row r="20" spans="1:22">
      <c r="A20">
        <v>19.873699999999999</v>
      </c>
      <c r="B20">
        <v>101300</v>
      </c>
      <c r="C20">
        <v>1.20434</v>
      </c>
      <c r="D20">
        <v>475.80155999999999</v>
      </c>
      <c r="E20">
        <v>0.55167999999999995</v>
      </c>
      <c r="F20">
        <v>2.9423699999999999</v>
      </c>
      <c r="G20">
        <v>1885.1025099999999</v>
      </c>
      <c r="H20">
        <v>0.45190999999999998</v>
      </c>
      <c r="I20">
        <f t="shared" si="6"/>
        <v>0.55603978799009712</v>
      </c>
      <c r="J20">
        <f t="shared" si="7"/>
        <v>483.35155504472266</v>
      </c>
      <c r="K20">
        <v>0.60660000000000003</v>
      </c>
      <c r="L20">
        <v>1</v>
      </c>
      <c r="M20">
        <v>70.650000000000006</v>
      </c>
      <c r="N20">
        <f t="shared" si="5"/>
        <v>403.50726160278026</v>
      </c>
      <c r="O20">
        <v>7.1799999999999998E-3</v>
      </c>
      <c r="P20">
        <v>1.0555440000000001E-2</v>
      </c>
      <c r="Q20">
        <v>0.10423364634728632</v>
      </c>
      <c r="R20">
        <v>10</v>
      </c>
      <c r="V20" s="41"/>
    </row>
    <row r="21" spans="1:22">
      <c r="A21">
        <v>19.5748</v>
      </c>
      <c r="B21">
        <v>101300</v>
      </c>
      <c r="C21">
        <v>1.20557</v>
      </c>
      <c r="D21">
        <v>450.00051999999999</v>
      </c>
      <c r="E21">
        <v>0.58391000000000004</v>
      </c>
      <c r="F21">
        <v>2.9727700000000001</v>
      </c>
      <c r="G21">
        <v>1883.5598399999999</v>
      </c>
      <c r="H21">
        <v>0.44811000000000001</v>
      </c>
      <c r="I21">
        <f t="shared" si="6"/>
        <v>0.58900650589364878</v>
      </c>
      <c r="J21">
        <f t="shared" si="7"/>
        <v>457.89022596822343</v>
      </c>
      <c r="K21">
        <v>0.60629999999999995</v>
      </c>
      <c r="L21">
        <v>0.9</v>
      </c>
      <c r="M21">
        <v>70.650000000000006</v>
      </c>
      <c r="N21">
        <f t="shared" si="5"/>
        <v>453.86672169126325</v>
      </c>
      <c r="O21">
        <v>5.0200000000000002E-3</v>
      </c>
      <c r="P21">
        <v>1.2011001666666667E-2</v>
      </c>
      <c r="Q21">
        <v>0.10540824446920261</v>
      </c>
      <c r="R21">
        <v>0</v>
      </c>
      <c r="V21" s="41"/>
    </row>
    <row r="22" spans="1:22">
      <c r="A22">
        <v>19.5748</v>
      </c>
      <c r="B22">
        <v>101300</v>
      </c>
      <c r="C22">
        <v>1.20557</v>
      </c>
      <c r="D22">
        <v>422.09178000000003</v>
      </c>
      <c r="E22">
        <v>0.62004000000000004</v>
      </c>
      <c r="F22">
        <v>2.9952899999999998</v>
      </c>
      <c r="G22">
        <v>1882.19534</v>
      </c>
      <c r="H22">
        <v>0.44330000000000003</v>
      </c>
      <c r="I22">
        <f t="shared" si="6"/>
        <v>0.62590527931070106</v>
      </c>
      <c r="J22">
        <f t="shared" si="7"/>
        <v>430.11511908458772</v>
      </c>
      <c r="K22">
        <v>0.60609999999999997</v>
      </c>
      <c r="L22">
        <v>0.9</v>
      </c>
      <c r="M22">
        <v>70.650000000000006</v>
      </c>
      <c r="N22">
        <f t="shared" si="5"/>
        <v>512.10910604167805</v>
      </c>
      <c r="O22">
        <v>4.1399999999999996E-3</v>
      </c>
      <c r="P22">
        <v>9.5711033333333341E-3</v>
      </c>
      <c r="Q22">
        <v>0.10706032150246697</v>
      </c>
      <c r="R22" t="s">
        <v>10</v>
      </c>
      <c r="V22" s="41"/>
    </row>
    <row r="23" spans="1:22">
      <c r="A23">
        <v>19.873699999999999</v>
      </c>
      <c r="B23">
        <v>101300</v>
      </c>
      <c r="C23">
        <v>1.20434</v>
      </c>
      <c r="D23">
        <v>648.61805000000004</v>
      </c>
      <c r="E23">
        <v>0.20230000000000001</v>
      </c>
      <c r="F23">
        <v>2.1275400000000002</v>
      </c>
      <c r="G23">
        <v>1914.1416899999999</v>
      </c>
      <c r="H23">
        <v>0.30769000000000002</v>
      </c>
      <c r="I23">
        <f t="shared" si="6"/>
        <v>0.20080540641690953</v>
      </c>
      <c r="J23">
        <f t="shared" si="7"/>
        <v>639.06946538600857</v>
      </c>
      <c r="K23">
        <v>0.61270000000000002</v>
      </c>
      <c r="L23">
        <v>2.8</v>
      </c>
      <c r="M23">
        <v>70.650000000000006</v>
      </c>
      <c r="N23">
        <f t="shared" si="5"/>
        <v>53.183595174236238</v>
      </c>
      <c r="O23">
        <v>6.8999999999999999E-3</v>
      </c>
      <c r="P23">
        <v>1.0241290000000002E-2</v>
      </c>
      <c r="Q23">
        <v>0.10726086264523317</v>
      </c>
      <c r="R23">
        <v>50</v>
      </c>
      <c r="S23" t="s">
        <v>14</v>
      </c>
      <c r="T23" t="s">
        <v>61</v>
      </c>
      <c r="U23" s="2">
        <f>100*(H16-H23)/H16</f>
        <v>-1.2104864971547042</v>
      </c>
      <c r="V23" s="41"/>
    </row>
    <row r="24" spans="1:22">
      <c r="R24" t="s">
        <v>11</v>
      </c>
      <c r="V24" s="41"/>
    </row>
    <row r="25" spans="1:22">
      <c r="A25">
        <v>19.713200000000001</v>
      </c>
      <c r="B25">
        <v>101300</v>
      </c>
      <c r="C25">
        <v>1.1974100000000001</v>
      </c>
      <c r="D25">
        <v>641.83605</v>
      </c>
      <c r="E25">
        <v>3.4470000000000001E-2</v>
      </c>
      <c r="F25">
        <v>1.2316100000000001</v>
      </c>
      <c r="G25">
        <v>1782.46477</v>
      </c>
      <c r="H25">
        <v>9.622E-2</v>
      </c>
      <c r="I25">
        <f>E25*1760/G25</f>
        <v>3.4035567502408479E-2</v>
      </c>
      <c r="J25">
        <f>D25*(1760/G25)^2</f>
        <v>625.75961632627047</v>
      </c>
      <c r="K25">
        <v>0.6381</v>
      </c>
      <c r="L25">
        <v>100</v>
      </c>
      <c r="M25">
        <v>64.80583</v>
      </c>
      <c r="N25">
        <f t="shared" ref="N25:N34" si="8">(E25*C25*4*SQRT(1-(0.215/0.3)^4)/(K25*PI()*0.215^2))^2*C25/2</f>
        <v>1.3991622342451873</v>
      </c>
      <c r="O25">
        <v>6.0121039999999999E-3</v>
      </c>
      <c r="P25">
        <v>2.8273500000000006E-3</v>
      </c>
      <c r="Q25">
        <v>0.16516950501352856</v>
      </c>
      <c r="R25">
        <v>90</v>
      </c>
      <c r="V25" s="41"/>
    </row>
    <row r="26" spans="1:22">
      <c r="A26">
        <v>19.713200000000001</v>
      </c>
      <c r="B26">
        <v>101300</v>
      </c>
      <c r="C26">
        <v>1.2022900000000001</v>
      </c>
      <c r="D26">
        <v>587.97360000000003</v>
      </c>
      <c r="E26">
        <v>0.11681</v>
      </c>
      <c r="F26">
        <v>1.60398</v>
      </c>
      <c r="G26">
        <v>1773.9338600000001</v>
      </c>
      <c r="H26">
        <v>0.23050999999999999</v>
      </c>
      <c r="I26">
        <f t="shared" ref="I26:I34" si="9">E26*1760/G26</f>
        <v>0.11589248316168901</v>
      </c>
      <c r="J26">
        <f t="shared" ref="J26:J34" si="10">D26*(1760/G26)^2</f>
        <v>578.77307012878077</v>
      </c>
      <c r="K26">
        <v>0.61780000000000002</v>
      </c>
      <c r="L26">
        <v>8.4</v>
      </c>
      <c r="M26">
        <v>64.80583</v>
      </c>
      <c r="N26">
        <f t="shared" si="8"/>
        <v>17.351071483553639</v>
      </c>
      <c r="O26">
        <v>5.5008706666666669E-3</v>
      </c>
      <c r="P26">
        <v>2.8168783333333337E-3</v>
      </c>
      <c r="Q26">
        <v>0.12937768581887632</v>
      </c>
      <c r="R26">
        <v>60</v>
      </c>
      <c r="V26" s="41"/>
    </row>
    <row r="27" spans="1:22">
      <c r="A27">
        <v>19.713200000000001</v>
      </c>
      <c r="B27">
        <v>101300</v>
      </c>
      <c r="C27">
        <v>1.2022900000000001</v>
      </c>
      <c r="D27">
        <v>552.17845</v>
      </c>
      <c r="E27">
        <v>0.18972</v>
      </c>
      <c r="F27">
        <v>1.8287800000000001</v>
      </c>
      <c r="G27">
        <v>1768.5296800000001</v>
      </c>
      <c r="H27">
        <v>0.30930000000000002</v>
      </c>
      <c r="I27">
        <f t="shared" si="9"/>
        <v>0.18880497385828435</v>
      </c>
      <c r="J27">
        <f t="shared" si="10"/>
        <v>546.86494294861666</v>
      </c>
      <c r="K27">
        <v>0.61329999999999996</v>
      </c>
      <c r="L27">
        <v>3.2</v>
      </c>
      <c r="M27">
        <v>64.80583</v>
      </c>
      <c r="N27">
        <f t="shared" si="8"/>
        <v>46.445363016109688</v>
      </c>
      <c r="O27">
        <v>6.7278306666666669E-3</v>
      </c>
      <c r="P27">
        <v>3.0367833333333331E-3</v>
      </c>
      <c r="Q27">
        <v>0.12170937450262613</v>
      </c>
      <c r="R27">
        <v>50</v>
      </c>
      <c r="V27" s="41"/>
    </row>
    <row r="28" spans="1:22">
      <c r="A28">
        <v>19.713200000000001</v>
      </c>
      <c r="B28">
        <v>101300</v>
      </c>
      <c r="C28">
        <v>1.20434</v>
      </c>
      <c r="D28">
        <v>513.72077999999999</v>
      </c>
      <c r="E28">
        <v>0.28098000000000001</v>
      </c>
      <c r="F28">
        <v>2.0805600000000002</v>
      </c>
      <c r="G28">
        <v>1762.1662899999999</v>
      </c>
      <c r="H28">
        <v>0.37596000000000002</v>
      </c>
      <c r="I28">
        <f t="shared" si="9"/>
        <v>0.28063458188159984</v>
      </c>
      <c r="J28">
        <f t="shared" si="10"/>
        <v>512.45848806789149</v>
      </c>
      <c r="K28">
        <v>0.61040000000000005</v>
      </c>
      <c r="L28">
        <v>1.7</v>
      </c>
      <c r="M28">
        <v>64.80583</v>
      </c>
      <c r="N28">
        <f t="shared" si="8"/>
        <v>103.37212725759764</v>
      </c>
      <c r="O28">
        <v>3.3230166666666666E-3</v>
      </c>
      <c r="P28">
        <v>4.3247983333333335E-3</v>
      </c>
      <c r="Q28">
        <v>0.11330574566289987</v>
      </c>
      <c r="R28">
        <v>40</v>
      </c>
      <c r="V28" s="41"/>
    </row>
    <row r="29" spans="1:22">
      <c r="A29">
        <v>19.713200000000001</v>
      </c>
      <c r="B29">
        <v>101300</v>
      </c>
      <c r="C29">
        <v>1.20516</v>
      </c>
      <c r="D29">
        <v>478.94294000000002</v>
      </c>
      <c r="E29">
        <v>0.36346000000000001</v>
      </c>
      <c r="F29">
        <v>2.2915299999999998</v>
      </c>
      <c r="G29">
        <v>1756.90382</v>
      </c>
      <c r="H29">
        <v>0.41289999999999999</v>
      </c>
      <c r="I29">
        <f t="shared" si="9"/>
        <v>0.3641005231578357</v>
      </c>
      <c r="J29">
        <f t="shared" si="10"/>
        <v>480.6325034033357</v>
      </c>
      <c r="K29">
        <v>0.60880000000000001</v>
      </c>
      <c r="L29">
        <v>1.2</v>
      </c>
      <c r="M29">
        <v>64.80583</v>
      </c>
      <c r="N29">
        <f t="shared" si="8"/>
        <v>174.23381163468886</v>
      </c>
      <c r="O29">
        <v>6.6869319999999996E-3</v>
      </c>
      <c r="P29">
        <v>6.2515850000000005E-3</v>
      </c>
      <c r="Q29">
        <v>9.4454878242877599E-2</v>
      </c>
      <c r="R29">
        <v>30</v>
      </c>
      <c r="V29" s="41"/>
    </row>
    <row r="30" spans="1:22">
      <c r="A30">
        <v>19.713200000000001</v>
      </c>
      <c r="B30">
        <v>101300</v>
      </c>
      <c r="C30">
        <v>1.20516</v>
      </c>
      <c r="D30">
        <v>437.58870000000002</v>
      </c>
      <c r="E30">
        <v>0.46044000000000002</v>
      </c>
      <c r="F30">
        <v>2.4830899999999998</v>
      </c>
      <c r="G30">
        <v>1751.6337900000001</v>
      </c>
      <c r="H30">
        <v>0.44235999999999998</v>
      </c>
      <c r="I30">
        <f t="shared" si="9"/>
        <v>0.46263916843029157</v>
      </c>
      <c r="J30">
        <f t="shared" si="10"/>
        <v>441.77873306982127</v>
      </c>
      <c r="K30">
        <v>0.60750000000000004</v>
      </c>
      <c r="L30">
        <v>1.1000000000000001</v>
      </c>
      <c r="M30">
        <v>64.80583</v>
      </c>
      <c r="N30">
        <f t="shared" si="8"/>
        <v>280.81610196200376</v>
      </c>
      <c r="O30">
        <v>5.6440159999999991E-3</v>
      </c>
      <c r="P30">
        <v>1.0450723333333333E-2</v>
      </c>
      <c r="Q30">
        <v>9.4149291739614824E-2</v>
      </c>
      <c r="R30">
        <v>20</v>
      </c>
      <c r="V30" s="41"/>
    </row>
    <row r="31" spans="1:22">
      <c r="A31">
        <v>19.713200000000001</v>
      </c>
      <c r="B31">
        <v>101300</v>
      </c>
      <c r="C31">
        <v>1.20553</v>
      </c>
      <c r="D31">
        <v>403.98279000000002</v>
      </c>
      <c r="E31">
        <v>0.52263999999999999</v>
      </c>
      <c r="F31">
        <v>2.5599500000000002</v>
      </c>
      <c r="G31">
        <v>1749.4621199999999</v>
      </c>
      <c r="H31">
        <v>0.45019999999999999</v>
      </c>
      <c r="I31">
        <f t="shared" si="9"/>
        <v>0.52578812052243806</v>
      </c>
      <c r="J31">
        <f t="shared" si="10"/>
        <v>408.86422583763829</v>
      </c>
      <c r="K31">
        <v>0.6069</v>
      </c>
      <c r="L31">
        <v>1</v>
      </c>
      <c r="M31">
        <v>64.80583</v>
      </c>
      <c r="N31">
        <f t="shared" si="8"/>
        <v>362.86028470931456</v>
      </c>
      <c r="O31">
        <v>5.8382846666666663E-3</v>
      </c>
      <c r="P31">
        <v>1.1267513333333335E-2</v>
      </c>
      <c r="Q31">
        <v>9.5782269616425275E-2</v>
      </c>
      <c r="R31">
        <v>10</v>
      </c>
      <c r="V31" s="41"/>
    </row>
    <row r="32" spans="1:22">
      <c r="A32">
        <v>19.713200000000001</v>
      </c>
      <c r="B32">
        <v>101300</v>
      </c>
      <c r="C32">
        <v>1.2054400000000001</v>
      </c>
      <c r="D32">
        <v>387.11072999999999</v>
      </c>
      <c r="E32">
        <v>0.54884999999999995</v>
      </c>
      <c r="F32">
        <v>2.5813100000000002</v>
      </c>
      <c r="G32">
        <v>1748.6919800000001</v>
      </c>
      <c r="H32">
        <v>0.44947999999999999</v>
      </c>
      <c r="I32">
        <f t="shared" si="9"/>
        <v>0.55239917095062097</v>
      </c>
      <c r="J32">
        <f t="shared" si="10"/>
        <v>392.1334663833137</v>
      </c>
      <c r="K32">
        <v>0.60670000000000002</v>
      </c>
      <c r="L32">
        <v>1</v>
      </c>
      <c r="M32">
        <v>64.80583</v>
      </c>
      <c r="N32">
        <f t="shared" si="8"/>
        <v>400.3413940870667</v>
      </c>
      <c r="O32">
        <v>4.6317740000000008E-3</v>
      </c>
      <c r="P32">
        <v>1.2744018333333334E-2</v>
      </c>
      <c r="Q32">
        <v>9.7023714785930276E-2</v>
      </c>
      <c r="R32">
        <v>0</v>
      </c>
      <c r="V32" s="41"/>
    </row>
    <row r="33" spans="1:24">
      <c r="A33">
        <v>19.713200000000001</v>
      </c>
      <c r="B33">
        <v>101300</v>
      </c>
      <c r="C33">
        <v>1.2054400000000001</v>
      </c>
      <c r="D33">
        <v>364.24004000000002</v>
      </c>
      <c r="E33">
        <v>0.58221999999999996</v>
      </c>
      <c r="F33">
        <v>2.5994899999999999</v>
      </c>
      <c r="G33">
        <v>1748.1323400000001</v>
      </c>
      <c r="H33">
        <v>0.44563999999999998</v>
      </c>
      <c r="I33">
        <f t="shared" si="9"/>
        <v>0.58617255487648023</v>
      </c>
      <c r="J33">
        <f t="shared" si="10"/>
        <v>369.20230707017839</v>
      </c>
      <c r="K33">
        <v>0.60640000000000005</v>
      </c>
      <c r="L33">
        <v>0.9</v>
      </c>
      <c r="M33">
        <v>64.80583</v>
      </c>
      <c r="N33">
        <f t="shared" si="8"/>
        <v>450.94856013312636</v>
      </c>
      <c r="O33">
        <v>5.8791833333333337E-3</v>
      </c>
      <c r="P33">
        <v>9.937611666666667E-3</v>
      </c>
      <c r="Q33">
        <v>9.6173802323730698E-2</v>
      </c>
      <c r="R33" t="s">
        <v>10</v>
      </c>
      <c r="V33" s="41"/>
    </row>
    <row r="34" spans="1:24">
      <c r="A34">
        <v>19.713200000000001</v>
      </c>
      <c r="B34">
        <v>101300</v>
      </c>
      <c r="C34">
        <v>1.2053199999999999</v>
      </c>
      <c r="D34">
        <v>473.98793000000001</v>
      </c>
      <c r="E34">
        <v>0.37534000000000001</v>
      </c>
      <c r="F34">
        <v>2.32944</v>
      </c>
      <c r="G34">
        <v>1755.60573</v>
      </c>
      <c r="H34">
        <v>0.41542000000000001</v>
      </c>
      <c r="I34">
        <f t="shared" si="9"/>
        <v>0.37627947363785375</v>
      </c>
      <c r="J34">
        <f t="shared" si="10"/>
        <v>476.36367708471067</v>
      </c>
      <c r="K34">
        <v>0.60850000000000004</v>
      </c>
      <c r="L34">
        <v>1.2</v>
      </c>
      <c r="M34">
        <v>64.80583</v>
      </c>
      <c r="N34">
        <f t="shared" si="8"/>
        <v>186.06726643076976</v>
      </c>
      <c r="O34">
        <v>5.1941306666666671E-3</v>
      </c>
      <c r="P34">
        <v>9.6758199999999999E-3</v>
      </c>
      <c r="Q34">
        <v>9.4512175712239369E-2</v>
      </c>
      <c r="R34">
        <v>30</v>
      </c>
      <c r="S34" t="s">
        <v>14</v>
      </c>
      <c r="T34" t="s">
        <v>61</v>
      </c>
      <c r="U34" s="1">
        <f>100*(H29-H34)/H29</f>
        <v>-0.61031726810366249</v>
      </c>
      <c r="V34" s="41"/>
    </row>
    <row r="35" spans="1:24">
      <c r="Q35">
        <v>0</v>
      </c>
      <c r="R35" t="s">
        <v>11</v>
      </c>
      <c r="U35" s="1"/>
      <c r="V35" s="41"/>
    </row>
    <row r="36" spans="1:24">
      <c r="A36">
        <v>19.713200000000001</v>
      </c>
      <c r="B36">
        <v>101300</v>
      </c>
      <c r="C36">
        <v>1.2050000000000001</v>
      </c>
      <c r="D36">
        <v>533.24099999999999</v>
      </c>
      <c r="E36">
        <v>6.3E-2</v>
      </c>
      <c r="F36">
        <v>1.046</v>
      </c>
      <c r="G36">
        <v>1614.682</v>
      </c>
      <c r="H36">
        <v>0.19</v>
      </c>
      <c r="I36">
        <f>E36*1600/G36</f>
        <v>6.2427152838763295E-2</v>
      </c>
      <c r="J36">
        <f>D36*(1600/G36)^2</f>
        <v>523.58776754009398</v>
      </c>
      <c r="K36">
        <v>0.626</v>
      </c>
      <c r="L36">
        <v>2904</v>
      </c>
      <c r="M36">
        <v>58.48</v>
      </c>
      <c r="N36">
        <f t="shared" ref="N36:N44" si="11">(E36*C36*4*SQRT(1-(0.215/0.3)^4)/(K36*PI()*0.215^2))^2*C36/2</f>
        <v>4.9491193555836652</v>
      </c>
      <c r="O36">
        <v>7.9138920000000005E-3</v>
      </c>
      <c r="P36">
        <v>2.7540483333333334E-3</v>
      </c>
      <c r="Q36">
        <v>9.5381187330892889E-2</v>
      </c>
      <c r="R36">
        <v>90</v>
      </c>
      <c r="V36" s="41"/>
    </row>
    <row r="37" spans="1:24">
      <c r="A37">
        <v>19.713200000000001</v>
      </c>
      <c r="B37">
        <v>101300</v>
      </c>
      <c r="C37">
        <v>1.2050000000000001</v>
      </c>
      <c r="D37">
        <v>484.4</v>
      </c>
      <c r="E37">
        <v>0.127</v>
      </c>
      <c r="F37">
        <v>1.3680000000000001</v>
      </c>
      <c r="G37">
        <v>1609.0139999999999</v>
      </c>
      <c r="H37">
        <v>0.26600000000000001</v>
      </c>
      <c r="I37">
        <f t="shared" ref="I37:I44" si="12">E37*1600/G37</f>
        <v>0.12628852203896299</v>
      </c>
      <c r="J37">
        <f t="shared" ref="J37:J44" si="13">D37*(1600/G37)^2</f>
        <v>478.9878022773741</v>
      </c>
      <c r="K37">
        <v>0.61699999999999999</v>
      </c>
      <c r="L37">
        <v>7.1</v>
      </c>
      <c r="M37">
        <v>58.48</v>
      </c>
      <c r="N37">
        <f t="shared" si="11"/>
        <v>20.702967910523267</v>
      </c>
      <c r="O37">
        <v>6.0427780000000013E-3</v>
      </c>
      <c r="P37">
        <v>2.8378216666666671E-3</v>
      </c>
      <c r="Q37">
        <v>9.0243514244787507E-2</v>
      </c>
      <c r="R37">
        <v>60</v>
      </c>
      <c r="V37" s="41"/>
    </row>
    <row r="38" spans="1:24">
      <c r="A38">
        <v>19.713200000000001</v>
      </c>
      <c r="B38">
        <v>101300</v>
      </c>
      <c r="C38">
        <v>1.2050000000000001</v>
      </c>
      <c r="D38">
        <v>459.73099999999999</v>
      </c>
      <c r="E38">
        <v>0.18099999999999999</v>
      </c>
      <c r="F38">
        <v>1.536</v>
      </c>
      <c r="G38">
        <v>1606.0119999999999</v>
      </c>
      <c r="H38">
        <v>0.32300000000000001</v>
      </c>
      <c r="I38">
        <f t="shared" si="12"/>
        <v>0.18032243843757081</v>
      </c>
      <c r="J38">
        <f t="shared" si="13"/>
        <v>456.29549699238748</v>
      </c>
      <c r="K38">
        <v>0.61399999999999999</v>
      </c>
      <c r="L38">
        <v>3.5</v>
      </c>
      <c r="M38">
        <v>58.48</v>
      </c>
      <c r="N38">
        <f t="shared" si="11"/>
        <v>42.463511254695504</v>
      </c>
      <c r="O38">
        <v>5.7769366666666662E-3</v>
      </c>
      <c r="P38">
        <v>3.193858333333334E-3</v>
      </c>
      <c r="Q38">
        <v>9.5849116664013995E-2</v>
      </c>
      <c r="R38">
        <v>50</v>
      </c>
      <c r="V38" s="41"/>
    </row>
    <row r="39" spans="1:24">
      <c r="A39">
        <v>19.713200000000001</v>
      </c>
      <c r="B39">
        <v>101300</v>
      </c>
      <c r="C39">
        <v>1.2050000000000001</v>
      </c>
      <c r="D39">
        <v>429.858</v>
      </c>
      <c r="E39">
        <v>0.25900000000000001</v>
      </c>
      <c r="F39">
        <v>1.736</v>
      </c>
      <c r="G39">
        <v>1602.23</v>
      </c>
      <c r="H39">
        <v>0.38200000000000001</v>
      </c>
      <c r="I39">
        <f t="shared" si="12"/>
        <v>0.25863952116737299</v>
      </c>
      <c r="J39">
        <f t="shared" si="13"/>
        <v>428.66227122575174</v>
      </c>
      <c r="K39">
        <v>0.61099999999999999</v>
      </c>
      <c r="L39">
        <v>1.9</v>
      </c>
      <c r="M39">
        <v>58.48</v>
      </c>
      <c r="N39">
        <f t="shared" si="11"/>
        <v>87.803656649567742</v>
      </c>
      <c r="O39">
        <v>4.1818886666666671E-3</v>
      </c>
      <c r="P39">
        <v>3.8745166666666673E-3</v>
      </c>
      <c r="Q39">
        <v>0.10706032150246697</v>
      </c>
      <c r="R39">
        <v>40</v>
      </c>
      <c r="V39" s="41"/>
    </row>
    <row r="40" spans="1:24">
      <c r="A40">
        <v>19.713200000000001</v>
      </c>
      <c r="B40">
        <v>101300</v>
      </c>
      <c r="C40">
        <v>1.2050000000000001</v>
      </c>
      <c r="D40">
        <v>395.62</v>
      </c>
      <c r="E40">
        <v>0.35</v>
      </c>
      <c r="F40">
        <v>1.9470000000000001</v>
      </c>
      <c r="G40">
        <v>1598.1389999999999</v>
      </c>
      <c r="H40">
        <v>0.42499999999999999</v>
      </c>
      <c r="I40">
        <f t="shared" si="12"/>
        <v>0.35040756780230009</v>
      </c>
      <c r="J40">
        <f t="shared" si="13"/>
        <v>396.54191917387044</v>
      </c>
      <c r="K40">
        <v>0.60899999999999999</v>
      </c>
      <c r="L40">
        <v>1.3</v>
      </c>
      <c r="M40">
        <v>58.48</v>
      </c>
      <c r="N40">
        <f t="shared" si="11"/>
        <v>161.39757254911845</v>
      </c>
      <c r="O40">
        <v>5.572443333333333E-3</v>
      </c>
      <c r="P40">
        <v>6.6285650000000003E-3</v>
      </c>
      <c r="Q40">
        <v>0.12237784497851342</v>
      </c>
      <c r="R40">
        <v>30</v>
      </c>
      <c r="V40" s="41"/>
    </row>
    <row r="41" spans="1:24">
      <c r="A41">
        <v>19.713200000000001</v>
      </c>
      <c r="B41">
        <v>101300</v>
      </c>
      <c r="C41">
        <v>1.2050000000000001</v>
      </c>
      <c r="D41">
        <v>371.49400000000003</v>
      </c>
      <c r="E41">
        <v>0.41599999999999998</v>
      </c>
      <c r="F41">
        <v>2.0670000000000002</v>
      </c>
      <c r="G41">
        <v>1595.578</v>
      </c>
      <c r="H41">
        <v>0.44800000000000001</v>
      </c>
      <c r="I41">
        <f t="shared" si="12"/>
        <v>0.41715290634491076</v>
      </c>
      <c r="J41">
        <f t="shared" si="13"/>
        <v>373.55597732679917</v>
      </c>
      <c r="K41">
        <v>0.60799999999999998</v>
      </c>
      <c r="L41">
        <v>1.1000000000000001</v>
      </c>
      <c r="M41">
        <v>58.48</v>
      </c>
      <c r="N41">
        <f t="shared" si="11"/>
        <v>228.75731889141605</v>
      </c>
      <c r="O41">
        <v>5.0714346666666668E-3</v>
      </c>
      <c r="P41">
        <v>9.026576666666666E-3</v>
      </c>
      <c r="Q41">
        <v>0.13138309724653827</v>
      </c>
      <c r="R41">
        <v>20</v>
      </c>
      <c r="V41" s="41"/>
    </row>
    <row r="42" spans="1:24">
      <c r="A42">
        <v>19.713200000000001</v>
      </c>
      <c r="B42">
        <v>101300</v>
      </c>
      <c r="C42">
        <v>1.2050000000000001</v>
      </c>
      <c r="D42">
        <v>341.72</v>
      </c>
      <c r="E42">
        <v>0.47899999999999998</v>
      </c>
      <c r="F42">
        <v>2.1440000000000001</v>
      </c>
      <c r="G42">
        <v>1593.9939999999999</v>
      </c>
      <c r="H42">
        <v>0.45800000000000002</v>
      </c>
      <c r="I42">
        <f t="shared" si="12"/>
        <v>0.48080482109719358</v>
      </c>
      <c r="J42">
        <f t="shared" si="13"/>
        <v>344.29998069833562</v>
      </c>
      <c r="K42">
        <v>0.60699999999999998</v>
      </c>
      <c r="L42">
        <v>1</v>
      </c>
      <c r="M42">
        <v>58.48</v>
      </c>
      <c r="N42">
        <f t="shared" si="11"/>
        <v>304.29102267602946</v>
      </c>
      <c r="O42">
        <v>5.787161333333333E-3</v>
      </c>
      <c r="P42">
        <v>1.0230818333333334E-2</v>
      </c>
      <c r="Q42">
        <v>0.12591118892248923</v>
      </c>
      <c r="R42">
        <v>10</v>
      </c>
      <c r="V42" s="41"/>
    </row>
    <row r="43" spans="1:24">
      <c r="A43">
        <v>19.713200000000001</v>
      </c>
      <c r="B43">
        <v>101300</v>
      </c>
      <c r="C43">
        <v>1.2050000000000001</v>
      </c>
      <c r="D43">
        <v>327.44600000000003</v>
      </c>
      <c r="E43">
        <v>0.504</v>
      </c>
      <c r="F43">
        <v>2.1640000000000001</v>
      </c>
      <c r="G43">
        <v>1593.6859999999999</v>
      </c>
      <c r="H43">
        <v>0.45700000000000002</v>
      </c>
      <c r="I43">
        <f t="shared" si="12"/>
        <v>0.50599678983187402</v>
      </c>
      <c r="J43">
        <f t="shared" si="13"/>
        <v>330.04574628677597</v>
      </c>
      <c r="K43">
        <v>0.60699999999999998</v>
      </c>
      <c r="L43">
        <v>1</v>
      </c>
      <c r="M43">
        <v>58.48</v>
      </c>
      <c r="N43">
        <f t="shared" si="11"/>
        <v>336.88306979168641</v>
      </c>
      <c r="O43">
        <v>5.2043553333333331E-3</v>
      </c>
      <c r="P43">
        <v>1.105808E-2</v>
      </c>
      <c r="Q43">
        <v>0.124230463154544</v>
      </c>
      <c r="R43">
        <v>0</v>
      </c>
      <c r="V43" s="41"/>
    </row>
    <row r="44" spans="1:24">
      <c r="A44">
        <v>19.713200000000001</v>
      </c>
      <c r="B44">
        <v>101300</v>
      </c>
      <c r="C44">
        <v>1.2050000000000001</v>
      </c>
      <c r="D44">
        <v>308.14600000000002</v>
      </c>
      <c r="E44">
        <v>0.53500000000000003</v>
      </c>
      <c r="F44">
        <v>2.1789999999999998</v>
      </c>
      <c r="G44">
        <v>1593.34</v>
      </c>
      <c r="H44">
        <v>0.45300000000000001</v>
      </c>
      <c r="I44">
        <f t="shared" si="12"/>
        <v>0.5372362458734482</v>
      </c>
      <c r="J44">
        <f t="shared" si="13"/>
        <v>310.72742199859175</v>
      </c>
      <c r="K44">
        <v>0.60699999999999998</v>
      </c>
      <c r="L44">
        <v>1</v>
      </c>
      <c r="M44">
        <v>58.48</v>
      </c>
      <c r="N44">
        <f t="shared" si="11"/>
        <v>379.5995396003616</v>
      </c>
      <c r="O44">
        <v>6.3801919999999998E-3</v>
      </c>
      <c r="P44">
        <v>1.1382701666666667E-2</v>
      </c>
      <c r="Q44">
        <v>0.12601623428298583</v>
      </c>
      <c r="R44" t="s">
        <v>10</v>
      </c>
      <c r="V44" s="41"/>
    </row>
    <row r="45" spans="1:24">
      <c r="R45" t="s">
        <v>11</v>
      </c>
      <c r="V45" s="41"/>
    </row>
    <row r="46" spans="1:24">
      <c r="V46" s="41"/>
      <c r="X46" s="37"/>
    </row>
    <row r="47" spans="1:24">
      <c r="A47">
        <v>19.713200000000001</v>
      </c>
      <c r="B47">
        <v>101300</v>
      </c>
      <c r="C47">
        <v>1.2050000000000001</v>
      </c>
      <c r="D47">
        <v>452.33199999999999</v>
      </c>
      <c r="E47">
        <v>6.2E-2</v>
      </c>
      <c r="F47">
        <v>0.90100000000000002</v>
      </c>
      <c r="G47">
        <v>1488.0239999999999</v>
      </c>
      <c r="H47">
        <v>0.2</v>
      </c>
      <c r="I47">
        <f>E47*1480/G47</f>
        <v>6.1665672059052816E-2</v>
      </c>
      <c r="J47">
        <f>D47*(1480/G47)^2</f>
        <v>447.46685521338827</v>
      </c>
      <c r="K47">
        <v>0.626</v>
      </c>
      <c r="L47">
        <v>30.3</v>
      </c>
      <c r="M47">
        <v>53.783000000000001</v>
      </c>
      <c r="N47">
        <f t="shared" ref="N47:N55" si="14">(E47*C47*4*SQRT(1-(0.215/0.3)^4)/(K47*PI()*0.215^2))^2*C47/2</f>
        <v>4.7932513990586028</v>
      </c>
      <c r="O47">
        <v>8.9568080000000019E-3</v>
      </c>
      <c r="P47">
        <v>2.9634816666666668E-3</v>
      </c>
      <c r="Q47">
        <v>9.4149291739614824E-2</v>
      </c>
      <c r="R47">
        <v>90</v>
      </c>
      <c r="V47" s="41"/>
    </row>
    <row r="48" spans="1:24">
      <c r="A48">
        <v>19.713200000000001</v>
      </c>
      <c r="B48">
        <v>101300</v>
      </c>
      <c r="C48">
        <v>1.2050000000000001</v>
      </c>
      <c r="D48">
        <v>414.39100000000002</v>
      </c>
      <c r="E48">
        <v>0.114</v>
      </c>
      <c r="F48">
        <v>1.165</v>
      </c>
      <c r="G48">
        <v>1484.2570000000001</v>
      </c>
      <c r="H48">
        <v>0.26100000000000001</v>
      </c>
      <c r="I48">
        <f t="shared" ref="I48:I55" si="15">E48*1480/G48</f>
        <v>0.1136730364081153</v>
      </c>
      <c r="J48">
        <f t="shared" ref="J48:J55" si="16">D48*(1480/G48)^2</f>
        <v>412.01737773417153</v>
      </c>
      <c r="K48">
        <v>0.61799999999999999</v>
      </c>
      <c r="L48">
        <v>8.6999999999999993</v>
      </c>
      <c r="M48">
        <v>53.783000000000001</v>
      </c>
      <c r="N48">
        <f t="shared" si="14"/>
        <v>16.62754943204315</v>
      </c>
      <c r="O48">
        <v>4.7953686666666667E-3</v>
      </c>
      <c r="P48">
        <v>2.9111233333333334E-3</v>
      </c>
      <c r="Q48">
        <v>8.2326913894636311E-2</v>
      </c>
      <c r="R48">
        <v>60</v>
      </c>
      <c r="V48" s="41"/>
    </row>
    <row r="49" spans="1:24">
      <c r="A49">
        <v>19.713200000000001</v>
      </c>
      <c r="B49">
        <v>101300</v>
      </c>
      <c r="C49">
        <v>1.2050000000000001</v>
      </c>
      <c r="D49">
        <v>393.59</v>
      </c>
      <c r="E49">
        <v>0.16300000000000001</v>
      </c>
      <c r="F49">
        <v>1.3080000000000001</v>
      </c>
      <c r="G49">
        <v>1482.2329999999999</v>
      </c>
      <c r="H49">
        <v>0.316</v>
      </c>
      <c r="I49">
        <f t="shared" si="15"/>
        <v>0.16275443874208712</v>
      </c>
      <c r="J49">
        <f t="shared" si="16"/>
        <v>392.40499812239079</v>
      </c>
      <c r="K49">
        <v>0.61499999999999999</v>
      </c>
      <c r="L49">
        <v>4.3</v>
      </c>
      <c r="M49">
        <v>53.783000000000001</v>
      </c>
      <c r="N49">
        <f t="shared" si="14"/>
        <v>34.325784560174974</v>
      </c>
      <c r="O49">
        <v>5.1123333333333342E-3</v>
      </c>
      <c r="P49">
        <v>3.1519716666666667E-3</v>
      </c>
      <c r="Q49">
        <v>8.5038994111093419E-2</v>
      </c>
      <c r="R49">
        <v>50</v>
      </c>
      <c r="V49" s="41"/>
    </row>
    <row r="50" spans="1:24">
      <c r="A50">
        <v>19.713200000000001</v>
      </c>
      <c r="B50">
        <v>101300</v>
      </c>
      <c r="C50">
        <v>1.2050000000000001</v>
      </c>
      <c r="D50">
        <v>366.20400000000001</v>
      </c>
      <c r="E50">
        <v>0.24099999999999999</v>
      </c>
      <c r="F50">
        <v>1.4990000000000001</v>
      </c>
      <c r="G50">
        <v>1479.2619999999999</v>
      </c>
      <c r="H50">
        <v>0.38</v>
      </c>
      <c r="I50">
        <f t="shared" si="15"/>
        <v>0.24112023427898507</v>
      </c>
      <c r="J50">
        <f t="shared" si="16"/>
        <v>366.56948761158958</v>
      </c>
      <c r="K50">
        <v>0.61099999999999999</v>
      </c>
      <c r="L50">
        <v>2.1</v>
      </c>
      <c r="M50">
        <v>53.783000000000001</v>
      </c>
      <c r="N50">
        <f t="shared" si="14"/>
        <v>76.023377437181068</v>
      </c>
      <c r="O50">
        <v>5.0612100000000009E-3</v>
      </c>
      <c r="P50">
        <v>4.3247983333333335E-3</v>
      </c>
      <c r="Q50">
        <v>8.1887633296196097E-2</v>
      </c>
      <c r="R50">
        <v>40</v>
      </c>
      <c r="V50" s="41"/>
    </row>
    <row r="51" spans="1:24">
      <c r="A51">
        <v>19.713200000000001</v>
      </c>
      <c r="B51">
        <v>101300</v>
      </c>
      <c r="C51">
        <v>1.2050000000000001</v>
      </c>
      <c r="D51">
        <v>340.29599999999999</v>
      </c>
      <c r="E51">
        <v>0.318</v>
      </c>
      <c r="F51">
        <v>1.665</v>
      </c>
      <c r="G51">
        <v>1476.71</v>
      </c>
      <c r="H51">
        <v>0.42</v>
      </c>
      <c r="I51">
        <f t="shared" si="15"/>
        <v>0.31870848033804877</v>
      </c>
      <c r="J51">
        <f t="shared" si="16"/>
        <v>341.81399744513777</v>
      </c>
      <c r="K51">
        <v>0.61</v>
      </c>
      <c r="L51">
        <v>1.4</v>
      </c>
      <c r="M51">
        <v>53.783000000000001</v>
      </c>
      <c r="N51">
        <f t="shared" si="14"/>
        <v>132.79755071126422</v>
      </c>
      <c r="O51">
        <v>5.4599720000000004E-3</v>
      </c>
      <c r="P51">
        <v>5.2463049999999997E-3</v>
      </c>
      <c r="Q51">
        <v>8.2775744071303517E-2</v>
      </c>
      <c r="R51">
        <v>30</v>
      </c>
      <c r="V51" s="41"/>
    </row>
    <row r="52" spans="1:24">
      <c r="A52">
        <v>19.713200000000001</v>
      </c>
      <c r="B52">
        <v>101300</v>
      </c>
      <c r="C52">
        <v>1.2050000000000001</v>
      </c>
      <c r="D52">
        <v>317.899</v>
      </c>
      <c r="E52">
        <v>0.38600000000000001</v>
      </c>
      <c r="F52">
        <v>1.7829999999999999</v>
      </c>
      <c r="G52">
        <v>1474.729</v>
      </c>
      <c r="H52">
        <v>0.44500000000000001</v>
      </c>
      <c r="I52">
        <f t="shared" si="15"/>
        <v>0.38737964737928116</v>
      </c>
      <c r="J52">
        <f t="shared" si="16"/>
        <v>320.17554055587959</v>
      </c>
      <c r="K52">
        <v>0.60899999999999999</v>
      </c>
      <c r="L52">
        <v>1.2</v>
      </c>
      <c r="M52">
        <v>53.783000000000001</v>
      </c>
      <c r="N52">
        <f t="shared" si="14"/>
        <v>196.30687934308949</v>
      </c>
      <c r="O52">
        <v>4.6317740000000008E-3</v>
      </c>
      <c r="P52">
        <v>7.6129016666666681E-3</v>
      </c>
      <c r="Q52">
        <v>8.6356835906414117E-2</v>
      </c>
      <c r="R52">
        <v>20</v>
      </c>
      <c r="V52" s="41"/>
    </row>
    <row r="53" spans="1:24">
      <c r="A53">
        <v>19.713200000000001</v>
      </c>
      <c r="B53">
        <v>101300</v>
      </c>
      <c r="C53">
        <v>1.2050000000000001</v>
      </c>
      <c r="D53">
        <v>295.67899999999997</v>
      </c>
      <c r="E53">
        <v>0.439</v>
      </c>
      <c r="F53">
        <v>1.8460000000000001</v>
      </c>
      <c r="G53">
        <v>1473.67</v>
      </c>
      <c r="H53">
        <v>0.45500000000000002</v>
      </c>
      <c r="I53">
        <f t="shared" si="15"/>
        <v>0.44088567996905687</v>
      </c>
      <c r="J53">
        <f t="shared" si="16"/>
        <v>298.22457371353818</v>
      </c>
      <c r="K53">
        <v>0.60799999999999998</v>
      </c>
      <c r="L53">
        <v>1.1000000000000001</v>
      </c>
      <c r="M53">
        <v>53.783000000000001</v>
      </c>
      <c r="N53">
        <f t="shared" si="14"/>
        <v>254.75186791600748</v>
      </c>
      <c r="O53">
        <v>5.2248046666666667E-3</v>
      </c>
      <c r="P53">
        <v>9.2778966666666671E-3</v>
      </c>
      <c r="Q53">
        <v>8.1457902275982805E-2</v>
      </c>
      <c r="R53">
        <v>10</v>
      </c>
      <c r="V53" s="41"/>
    </row>
    <row r="54" spans="1:24">
      <c r="A54">
        <v>19.713200000000001</v>
      </c>
      <c r="B54">
        <v>101300</v>
      </c>
      <c r="C54">
        <v>1.2050000000000001</v>
      </c>
      <c r="D54">
        <v>280.71100000000001</v>
      </c>
      <c r="E54">
        <v>0.46700000000000003</v>
      </c>
      <c r="F54">
        <v>1.8660000000000001</v>
      </c>
      <c r="G54">
        <v>1473.739</v>
      </c>
      <c r="H54">
        <v>0.45500000000000002</v>
      </c>
      <c r="I54">
        <f t="shared" si="15"/>
        <v>0.46898399241656769</v>
      </c>
      <c r="J54">
        <f t="shared" si="16"/>
        <v>283.10119921441225</v>
      </c>
      <c r="K54">
        <v>0.60799999999999998</v>
      </c>
      <c r="L54">
        <v>1</v>
      </c>
      <c r="M54">
        <v>53.783000000000001</v>
      </c>
      <c r="N54">
        <f t="shared" si="14"/>
        <v>288.28503443804345</v>
      </c>
      <c r="O54">
        <v>4.7033466666666669E-3</v>
      </c>
      <c r="P54">
        <v>8.1364850000000006E-3</v>
      </c>
      <c r="Q54">
        <v>7.9958618494349834E-2</v>
      </c>
      <c r="R54">
        <v>0</v>
      </c>
      <c r="V54" s="41"/>
    </row>
    <row r="55" spans="1:24">
      <c r="A55">
        <v>19.713200000000001</v>
      </c>
      <c r="B55">
        <v>101300</v>
      </c>
      <c r="C55">
        <v>1.2050000000000001</v>
      </c>
      <c r="D55">
        <v>264.45800000000003</v>
      </c>
      <c r="E55">
        <v>0.495</v>
      </c>
      <c r="F55">
        <v>1.881</v>
      </c>
      <c r="G55">
        <v>1473.0319999999999</v>
      </c>
      <c r="H55">
        <v>0.45100000000000001</v>
      </c>
      <c r="I55">
        <f t="shared" si="15"/>
        <v>0.49734153772626805</v>
      </c>
      <c r="J55">
        <f t="shared" si="16"/>
        <v>266.96589090995201</v>
      </c>
      <c r="K55">
        <v>0.60699999999999998</v>
      </c>
      <c r="L55">
        <v>1</v>
      </c>
      <c r="M55">
        <v>53.783000000000001</v>
      </c>
      <c r="N55">
        <f t="shared" si="14"/>
        <v>324.95895603311578</v>
      </c>
      <c r="O55">
        <v>4.0182940000000004E-3</v>
      </c>
      <c r="P55">
        <v>6.9636583333333333E-3</v>
      </c>
      <c r="Q55">
        <v>8.719719879038676E-2</v>
      </c>
      <c r="R55" t="s">
        <v>10</v>
      </c>
      <c r="V55" s="41"/>
    </row>
    <row r="56" spans="1:24">
      <c r="R56" t="s">
        <v>11</v>
      </c>
      <c r="V56" s="41"/>
      <c r="X56" s="1"/>
    </row>
    <row r="57" spans="1:24">
      <c r="V57" s="41"/>
    </row>
    <row r="58" spans="1:24">
      <c r="A58">
        <v>19.713200000000001</v>
      </c>
      <c r="B58">
        <v>101300</v>
      </c>
      <c r="C58">
        <v>1.2050000000000001</v>
      </c>
      <c r="D58">
        <v>377.041</v>
      </c>
      <c r="E58">
        <v>6.0999999999999999E-2</v>
      </c>
      <c r="F58">
        <v>0.76700000000000002</v>
      </c>
      <c r="G58">
        <v>1357.3430000000001</v>
      </c>
      <c r="H58">
        <v>0.21199999999999999</v>
      </c>
      <c r="I58">
        <f>E58*1350/G58</f>
        <v>6.0670000139979349E-2</v>
      </c>
      <c r="J58">
        <f>D58*(1350/G58)^2</f>
        <v>372.97257632598149</v>
      </c>
      <c r="K58">
        <v>0.626</v>
      </c>
      <c r="L58">
        <v>30.9</v>
      </c>
      <c r="M58">
        <v>49</v>
      </c>
      <c r="N58">
        <f t="shared" ref="N58:N66" si="17">(E58*C58*4*SQRT(1-(0.215/0.3)^4)/(K58*PI()*0.215^2))^2*C58/2</f>
        <v>4.6398773298379465</v>
      </c>
      <c r="O58">
        <v>7.4231080000000003E-3</v>
      </c>
      <c r="P58">
        <v>3.1100850000000003E-3</v>
      </c>
      <c r="Q58">
        <v>0.11153907369091197</v>
      </c>
      <c r="R58">
        <v>90</v>
      </c>
      <c r="V58" s="41"/>
    </row>
    <row r="59" spans="1:24">
      <c r="A59">
        <v>19.713200000000001</v>
      </c>
      <c r="B59">
        <v>101300</v>
      </c>
      <c r="C59">
        <v>1.2050000000000001</v>
      </c>
      <c r="D59">
        <v>346.27800000000002</v>
      </c>
      <c r="E59">
        <v>0.105</v>
      </c>
      <c r="F59">
        <v>0.98599999999999999</v>
      </c>
      <c r="G59">
        <v>1354.241</v>
      </c>
      <c r="H59">
        <v>0.26</v>
      </c>
      <c r="I59">
        <f t="shared" ref="I59:I66" si="18">E59*1350/G59</f>
        <v>0.10467117743444483</v>
      </c>
      <c r="J59">
        <f t="shared" ref="J59:J66" si="19">D59*(1350/G59)^2</f>
        <v>344.11255753149044</v>
      </c>
      <c r="K59">
        <v>0.61899999999999999</v>
      </c>
      <c r="L59">
        <v>10</v>
      </c>
      <c r="M59">
        <v>49</v>
      </c>
      <c r="N59">
        <f t="shared" si="17"/>
        <v>14.060241985518008</v>
      </c>
      <c r="O59">
        <v>5.7769366666666662E-3</v>
      </c>
      <c r="P59">
        <v>3.1100850000000003E-3</v>
      </c>
      <c r="Q59">
        <v>0.10112048384529683</v>
      </c>
      <c r="R59">
        <v>60</v>
      </c>
      <c r="V59" s="41"/>
    </row>
    <row r="60" spans="1:24">
      <c r="A60">
        <v>19.713200000000001</v>
      </c>
      <c r="B60">
        <v>101300</v>
      </c>
      <c r="C60">
        <v>1.2050000000000001</v>
      </c>
      <c r="D60">
        <v>328.54399999999998</v>
      </c>
      <c r="E60">
        <v>0.15</v>
      </c>
      <c r="F60">
        <v>1.1140000000000001</v>
      </c>
      <c r="G60">
        <v>1352.68</v>
      </c>
      <c r="H60">
        <v>0.313</v>
      </c>
      <c r="I60">
        <f t="shared" si="18"/>
        <v>0.14970281219504983</v>
      </c>
      <c r="J60">
        <f t="shared" si="19"/>
        <v>327.24343271748972</v>
      </c>
      <c r="K60">
        <v>0.61499999999999999</v>
      </c>
      <c r="L60">
        <v>5.0999999999999996</v>
      </c>
      <c r="M60">
        <v>49</v>
      </c>
      <c r="N60">
        <f t="shared" si="17"/>
        <v>29.068845368810901</v>
      </c>
      <c r="O60">
        <v>5.9916546666666662E-3</v>
      </c>
      <c r="P60">
        <v>3.0891416666666669E-3</v>
      </c>
      <c r="Q60">
        <v>9.4712716855005569E-2</v>
      </c>
      <c r="R60">
        <v>50</v>
      </c>
      <c r="V60" s="41"/>
    </row>
    <row r="61" spans="1:24">
      <c r="A61">
        <v>19.713200000000001</v>
      </c>
      <c r="B61">
        <v>101300</v>
      </c>
      <c r="C61">
        <v>1.2050000000000001</v>
      </c>
      <c r="D61">
        <v>308.483</v>
      </c>
      <c r="E61">
        <v>0.21299999999999999</v>
      </c>
      <c r="F61">
        <v>1.256</v>
      </c>
      <c r="G61">
        <v>1350.664</v>
      </c>
      <c r="H61">
        <v>0.37</v>
      </c>
      <c r="I61">
        <f t="shared" si="18"/>
        <v>0.21289528705880961</v>
      </c>
      <c r="J61">
        <f t="shared" si="19"/>
        <v>308.17976786663473</v>
      </c>
      <c r="K61">
        <v>0.61199999999999999</v>
      </c>
      <c r="L61">
        <v>2.6</v>
      </c>
      <c r="M61">
        <v>49</v>
      </c>
      <c r="N61">
        <f t="shared" si="17"/>
        <v>59.190479434957581</v>
      </c>
      <c r="O61">
        <v>5.0100866666666667E-3</v>
      </c>
      <c r="P61">
        <v>3.9897050000000005E-3</v>
      </c>
      <c r="Q61">
        <v>8.9126213592232995E-2</v>
      </c>
      <c r="R61">
        <v>40</v>
      </c>
      <c r="V61" s="41"/>
    </row>
    <row r="62" spans="1:24">
      <c r="A62">
        <v>19.713200000000001</v>
      </c>
      <c r="B62">
        <v>101300</v>
      </c>
      <c r="C62">
        <v>1.2050000000000001</v>
      </c>
      <c r="D62">
        <v>283.69900000000001</v>
      </c>
      <c r="E62">
        <v>0.29499999999999998</v>
      </c>
      <c r="F62">
        <v>1.4159999999999999</v>
      </c>
      <c r="G62">
        <v>1348.4670000000001</v>
      </c>
      <c r="H62">
        <v>0.41799999999999998</v>
      </c>
      <c r="I62">
        <f t="shared" si="18"/>
        <v>0.29533536971983737</v>
      </c>
      <c r="J62">
        <f t="shared" si="19"/>
        <v>284.34441109315935</v>
      </c>
      <c r="K62">
        <v>0.61</v>
      </c>
      <c r="L62">
        <v>1.5</v>
      </c>
      <c r="M62">
        <v>49</v>
      </c>
      <c r="N62">
        <f t="shared" si="17"/>
        <v>114.28253283738542</v>
      </c>
      <c r="O62">
        <v>4.3045846666666674E-3</v>
      </c>
      <c r="P62">
        <v>4.2619683333333337E-3</v>
      </c>
      <c r="Q62">
        <v>9.0520452013369404E-2</v>
      </c>
      <c r="R62">
        <v>30</v>
      </c>
      <c r="V62" s="41"/>
    </row>
    <row r="63" spans="1:24">
      <c r="A63">
        <v>19.713200000000001</v>
      </c>
      <c r="B63">
        <v>101300</v>
      </c>
      <c r="C63">
        <v>1.2050000000000001</v>
      </c>
      <c r="D63">
        <v>264.339</v>
      </c>
      <c r="E63">
        <v>0.36</v>
      </c>
      <c r="F63">
        <v>1.5169999999999999</v>
      </c>
      <c r="G63">
        <v>1347.0070000000001</v>
      </c>
      <c r="H63">
        <v>0.44400000000000001</v>
      </c>
      <c r="I63">
        <f t="shared" si="18"/>
        <v>0.36079990675623808</v>
      </c>
      <c r="J63">
        <f t="shared" si="19"/>
        <v>265.51500814037303</v>
      </c>
      <c r="K63">
        <v>0.60899999999999999</v>
      </c>
      <c r="L63">
        <v>1.2</v>
      </c>
      <c r="M63">
        <v>49</v>
      </c>
      <c r="N63">
        <f t="shared" si="17"/>
        <v>170.75204410094494</v>
      </c>
      <c r="O63">
        <v>4.7237959999999997E-3</v>
      </c>
      <c r="P63">
        <v>9.5711033333333341E-3</v>
      </c>
      <c r="Q63">
        <v>8.2135922330097075E-2</v>
      </c>
      <c r="R63">
        <v>20</v>
      </c>
      <c r="V63" s="41"/>
    </row>
    <row r="64" spans="1:24">
      <c r="A64">
        <v>19.713200000000001</v>
      </c>
      <c r="B64">
        <v>101300</v>
      </c>
      <c r="C64">
        <v>1.2050000000000001</v>
      </c>
      <c r="D64">
        <v>249.75</v>
      </c>
      <c r="E64">
        <v>0.39700000000000002</v>
      </c>
      <c r="F64">
        <v>1.5580000000000001</v>
      </c>
      <c r="G64">
        <v>1346.4190000000001</v>
      </c>
      <c r="H64">
        <v>0.45200000000000001</v>
      </c>
      <c r="I64">
        <f t="shared" si="18"/>
        <v>0.39805588007893533</v>
      </c>
      <c r="J64">
        <f t="shared" si="19"/>
        <v>251.08026061606611</v>
      </c>
      <c r="K64">
        <v>0.60799999999999998</v>
      </c>
      <c r="L64">
        <v>1.1000000000000001</v>
      </c>
      <c r="M64">
        <v>49</v>
      </c>
      <c r="N64">
        <f t="shared" si="17"/>
        <v>208.33841226630219</v>
      </c>
      <c r="O64">
        <v>4.989637333333333E-3</v>
      </c>
      <c r="P64">
        <v>8.6077099999999993E-3</v>
      </c>
      <c r="Q64">
        <v>9.145631067961163E-2</v>
      </c>
      <c r="R64">
        <v>10</v>
      </c>
      <c r="V64" s="41"/>
    </row>
    <row r="65" spans="1:24">
      <c r="A65">
        <v>19.713200000000001</v>
      </c>
      <c r="B65">
        <v>101300</v>
      </c>
      <c r="C65">
        <v>1.2050000000000001</v>
      </c>
      <c r="D65">
        <v>236.77500000000001</v>
      </c>
      <c r="E65">
        <v>0.42599999999999999</v>
      </c>
      <c r="F65">
        <v>1.581</v>
      </c>
      <c r="G65">
        <v>1346.1569999999999</v>
      </c>
      <c r="H65">
        <v>0.45300000000000001</v>
      </c>
      <c r="I65">
        <f t="shared" si="18"/>
        <v>0.42721614195075319</v>
      </c>
      <c r="J65">
        <f t="shared" si="19"/>
        <v>238.12881705223592</v>
      </c>
      <c r="K65">
        <v>0.60799999999999998</v>
      </c>
      <c r="L65">
        <v>1.1000000000000001</v>
      </c>
      <c r="M65">
        <v>49</v>
      </c>
      <c r="N65">
        <f t="shared" si="17"/>
        <v>239.88745379032582</v>
      </c>
      <c r="O65">
        <v>5.347500666666667E-3</v>
      </c>
      <c r="P65">
        <v>6.2096983333333336E-3</v>
      </c>
      <c r="Q65">
        <v>8.8830176667197197E-2</v>
      </c>
      <c r="R65">
        <v>0</v>
      </c>
      <c r="V65" s="41"/>
    </row>
    <row r="66" spans="1:24">
      <c r="A66">
        <v>19.713200000000001</v>
      </c>
      <c r="B66">
        <v>101300</v>
      </c>
      <c r="C66">
        <v>1.2050000000000001</v>
      </c>
      <c r="D66">
        <v>222.023</v>
      </c>
      <c r="E66">
        <v>0.45400000000000001</v>
      </c>
      <c r="F66">
        <v>1.597</v>
      </c>
      <c r="G66">
        <v>1345.7629999999999</v>
      </c>
      <c r="H66">
        <v>0.44800000000000001</v>
      </c>
      <c r="I66">
        <f t="shared" si="18"/>
        <v>0.4554293735226782</v>
      </c>
      <c r="J66">
        <f t="shared" si="19"/>
        <v>223.42323513632945</v>
      </c>
      <c r="K66">
        <v>0.60799999999999998</v>
      </c>
      <c r="L66">
        <v>1</v>
      </c>
      <c r="M66">
        <v>49</v>
      </c>
      <c r="N66">
        <f t="shared" si="17"/>
        <v>272.45829986029446</v>
      </c>
      <c r="O66">
        <v>4.5704259999999998E-3</v>
      </c>
      <c r="P66">
        <v>7.8328066666666658E-3</v>
      </c>
      <c r="Q66">
        <v>8.6337736749960217E-2</v>
      </c>
      <c r="R66" t="s">
        <v>10</v>
      </c>
      <c r="V66" s="41"/>
    </row>
    <row r="67" spans="1:24">
      <c r="X67" s="2"/>
    </row>
    <row r="69" spans="1:24">
      <c r="G69" t="s">
        <v>15</v>
      </c>
      <c r="H69">
        <f>MAXA(H2:H57)</f>
        <v>0.45800000000000002</v>
      </c>
    </row>
    <row r="87" spans="15:15">
      <c r="O87" t="s">
        <v>11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6"/>
  <sheetViews>
    <sheetView tabSelected="1" zoomScale="55" zoomScaleNormal="55" workbookViewId="0">
      <selection activeCell="O9" sqref="O9"/>
    </sheetView>
  </sheetViews>
  <sheetFormatPr baseColWidth="10" defaultRowHeight="15"/>
  <sheetData>
    <row r="1" spans="1:28" ht="15.75" thickBot="1">
      <c r="K1" t="s">
        <v>86</v>
      </c>
      <c r="O1" t="s">
        <v>87</v>
      </c>
      <c r="S1" t="s">
        <v>88</v>
      </c>
      <c r="W1" t="s">
        <v>89</v>
      </c>
      <c r="AB1" t="s">
        <v>95</v>
      </c>
    </row>
    <row r="2" spans="1:28" ht="15.75" thickBot="1">
      <c r="B2" s="3" t="s">
        <v>17</v>
      </c>
      <c r="C2" s="4" t="s">
        <v>18</v>
      </c>
      <c r="D2" s="4"/>
      <c r="E2" s="4" t="s">
        <v>19</v>
      </c>
      <c r="F2" s="4" t="s">
        <v>20</v>
      </c>
      <c r="H2" s="38"/>
      <c r="I2" s="38"/>
      <c r="J2" s="38"/>
      <c r="K2" s="38" t="s">
        <v>83</v>
      </c>
      <c r="L2" s="38" t="s">
        <v>82</v>
      </c>
      <c r="M2" s="38" t="s">
        <v>81</v>
      </c>
      <c r="O2" s="38" t="s">
        <v>74</v>
      </c>
      <c r="P2" s="38" t="s">
        <v>80</v>
      </c>
      <c r="Q2" s="38" t="s">
        <v>90</v>
      </c>
      <c r="S2" s="38" t="s">
        <v>75</v>
      </c>
      <c r="T2" s="38" t="s">
        <v>76</v>
      </c>
      <c r="U2" s="38" t="s">
        <v>91</v>
      </c>
      <c r="W2" s="38" t="s">
        <v>77</v>
      </c>
      <c r="X2" s="38" t="s">
        <v>78</v>
      </c>
      <c r="Y2" s="38" t="s">
        <v>92</v>
      </c>
      <c r="Z2" s="38" t="s">
        <v>84</v>
      </c>
      <c r="AB2" s="38" t="s">
        <v>85</v>
      </c>
    </row>
    <row r="3" spans="1:28">
      <c r="A3" t="s">
        <v>21</v>
      </c>
      <c r="E3">
        <v>0.02</v>
      </c>
      <c r="F3" t="s">
        <v>22</v>
      </c>
      <c r="K3">
        <v>0.13221546669166859</v>
      </c>
      <c r="L3">
        <v>2.2218044027352533</v>
      </c>
      <c r="M3">
        <v>0.40124562359062688</v>
      </c>
      <c r="O3">
        <f>($B$49^2+$B$51^2+K3^2)^0.5</f>
        <v>0.62158504617831312</v>
      </c>
      <c r="P3">
        <f>($B$50^2+$B$52^2+L3^2)^0.5</f>
        <v>2.3033240857538382</v>
      </c>
      <c r="Q3">
        <f>($B$54^2+$B$55^2+M3^2)^0.5</f>
        <v>0.45934524102316665</v>
      </c>
      <c r="S3">
        <v>4.1774952801888355E-3</v>
      </c>
      <c r="T3">
        <v>1.7653904980108794E-3</v>
      </c>
      <c r="U3">
        <v>0.1211064063802854</v>
      </c>
      <c r="W3">
        <f t="shared" ref="W3:W66" si="0">(O3^2+S3^2)^0.5</f>
        <v>0.6215990838951676</v>
      </c>
      <c r="X3">
        <f>($B$53^2+  (2*$E$13^2/(1-$E$13^4))^2*$B$48^2 + (2/(1-$E$13^4))^2*$B$47^2 + 0.25*$B$46^2 + 0.25*$P3^2 +$T3^2)^0.5</f>
        <v>1.3473506482987054</v>
      </c>
      <c r="Y3">
        <f>(Q3^2+U3^2)^0.5</f>
        <v>0.47504190564304732</v>
      </c>
      <c r="Z3">
        <f>0.00000776/(60/Test!G3)*100</f>
        <v>2.6500141333333335E-2</v>
      </c>
      <c r="AB3">
        <f>(W3^2+X3^2+Y3^2+Z3^2)^0.5</f>
        <v>1.5582381910920802</v>
      </c>
    </row>
    <row r="4" spans="1:28">
      <c r="A4" t="s">
        <v>23</v>
      </c>
      <c r="E4" s="6">
        <f>+E3/(PI()*(E12/2)^2)</f>
        <v>0.28294212105225836</v>
      </c>
      <c r="F4" t="s">
        <v>24</v>
      </c>
      <c r="K4">
        <v>0.12895385066262405</v>
      </c>
      <c r="L4">
        <v>1.6064506274231567</v>
      </c>
      <c r="M4">
        <v>0.38781881073150781</v>
      </c>
      <c r="O4">
        <f t="shared" ref="O4:O66" si="1">($B$49^2+$B$51^2+K4^2)^0.5</f>
        <v>0.62089945691771897</v>
      </c>
      <c r="P4">
        <f t="shared" ref="P4:P66" si="2">($B$50^2+$B$52^2+L4^2)^0.5</f>
        <v>1.7174314129968202</v>
      </c>
      <c r="Q4">
        <f t="shared" ref="Q4:Q66" si="3">($B$54^2+$B$55^2+M4^2)^0.5</f>
        <v>0.4476644166752603</v>
      </c>
      <c r="S4">
        <v>3.0432495290396416E-3</v>
      </c>
      <c r="T4">
        <v>1.8238041541950626E-3</v>
      </c>
      <c r="U4">
        <v>0.15467243104098616</v>
      </c>
      <c r="W4">
        <f t="shared" si="0"/>
        <v>0.62090691489821115</v>
      </c>
      <c r="X4">
        <f t="shared" ref="X4:X66" si="4">($B$53^2+  (2*$E$13^2/(1-$E$13^4))^2*$B$48^2 + (2/(1-$E$13^4))^2*$B$47^2 + 0.25*$B$46^2 + 0.25*$P4^2 +$T4^2)^0.5</f>
        <v>1.1074390198618382</v>
      </c>
      <c r="Y4">
        <f t="shared" ref="Y4:Y66" si="5">(Q4^2+U4^2)^0.5</f>
        <v>0.47363170383888964</v>
      </c>
      <c r="Z4">
        <f>0.00000776/(60/Test!G4)*100</f>
        <v>2.6325993999999998E-2</v>
      </c>
      <c r="AB4">
        <f t="shared" ref="AB4:AB66" si="6">(W4^2+X4^2+Y4^2+Z4^2)^0.5</f>
        <v>1.3553474198604507</v>
      </c>
    </row>
    <row r="5" spans="1:28">
      <c r="A5" t="s">
        <v>25</v>
      </c>
      <c r="E5" s="6">
        <f>+E3/(PI()*(E9/2)^2)</f>
        <v>0.55088785061553824</v>
      </c>
      <c r="F5" t="s">
        <v>24</v>
      </c>
      <c r="K5">
        <v>0.12583273864775968</v>
      </c>
      <c r="L5">
        <v>0.72435183304400441</v>
      </c>
      <c r="M5">
        <v>0.38552802722236013</v>
      </c>
      <c r="O5">
        <f t="shared" si="1"/>
        <v>0.62025875093834459</v>
      </c>
      <c r="P5">
        <f t="shared" si="2"/>
        <v>0.94528970058612671</v>
      </c>
      <c r="Q5">
        <f t="shared" si="3"/>
        <v>0.44568134330928061</v>
      </c>
      <c r="S5">
        <v>3.7932152989251736E-3</v>
      </c>
      <c r="T5">
        <v>1.8497657791658106E-3</v>
      </c>
      <c r="U5">
        <v>0.14854637998758727</v>
      </c>
      <c r="W5">
        <f t="shared" si="0"/>
        <v>0.62027034960402505</v>
      </c>
      <c r="X5">
        <f t="shared" si="4"/>
        <v>0.8440508089006743</v>
      </c>
      <c r="Y5">
        <f t="shared" si="5"/>
        <v>0.46978493673316252</v>
      </c>
      <c r="Z5">
        <f>0.00000776/(60/Test!G5)*100</f>
        <v>2.6166629466666667E-2</v>
      </c>
      <c r="AB5">
        <f t="shared" si="6"/>
        <v>1.1482768193614332</v>
      </c>
    </row>
    <row r="6" spans="1:28">
      <c r="A6" t="s">
        <v>26</v>
      </c>
      <c r="E6" s="7">
        <f>1.79/100000</f>
        <v>1.7900000000000001E-5</v>
      </c>
      <c r="F6" t="s">
        <v>27</v>
      </c>
      <c r="K6">
        <v>0.12338238470691787</v>
      </c>
      <c r="L6">
        <v>0.25754416172760908</v>
      </c>
      <c r="M6">
        <v>0.38753757700419128</v>
      </c>
      <c r="O6">
        <f t="shared" si="1"/>
        <v>0.619766288899264</v>
      </c>
      <c r="P6">
        <f t="shared" si="2"/>
        <v>0.65970905347734687</v>
      </c>
      <c r="Q6">
        <f t="shared" si="3"/>
        <v>0.44742080147248348</v>
      </c>
      <c r="S6">
        <v>2.6713656762038392E-3</v>
      </c>
      <c r="T6">
        <v>2.9012115904811144E-3</v>
      </c>
      <c r="U6">
        <v>0.12700162072732435</v>
      </c>
      <c r="W6">
        <f t="shared" si="0"/>
        <v>0.61977204603833336</v>
      </c>
      <c r="X6">
        <f t="shared" si="4"/>
        <v>0.77319959758304291</v>
      </c>
      <c r="Y6">
        <f t="shared" si="5"/>
        <v>0.46509653326771488</v>
      </c>
      <c r="Z6">
        <f>0.00000776/(60/Test!G6)*100</f>
        <v>2.5990529200000001E-2</v>
      </c>
      <c r="AB6">
        <f t="shared" si="6"/>
        <v>1.0949636065271138</v>
      </c>
    </row>
    <row r="7" spans="1:28">
      <c r="A7" t="s">
        <v>28</v>
      </c>
      <c r="E7" s="8">
        <f>+E6/E11</f>
        <v>1.4854771784232365E-5</v>
      </c>
      <c r="F7" t="s">
        <v>29</v>
      </c>
      <c r="K7">
        <v>0.1217849994275491</v>
      </c>
      <c r="L7">
        <v>0.13754388931702627</v>
      </c>
      <c r="M7">
        <v>0.39116322895963584</v>
      </c>
      <c r="O7">
        <f t="shared" si="1"/>
        <v>0.61945026118774715</v>
      </c>
      <c r="P7">
        <f t="shared" si="2"/>
        <v>0.62274020384784401</v>
      </c>
      <c r="Q7">
        <f t="shared" si="3"/>
        <v>0.45056483627789745</v>
      </c>
      <c r="S7">
        <v>2.7519405109849306E-3</v>
      </c>
      <c r="T7">
        <v>5.0365552443251563E-3</v>
      </c>
      <c r="U7">
        <v>0.10574096818258143</v>
      </c>
      <c r="W7">
        <f t="shared" si="0"/>
        <v>0.61945637397813913</v>
      </c>
      <c r="X7">
        <f t="shared" si="4"/>
        <v>0.76550760879610813</v>
      </c>
      <c r="Y7">
        <f t="shared" si="5"/>
        <v>0.46280646499624251</v>
      </c>
      <c r="Z7">
        <f>0.00000776/(60/Test!G7)*100</f>
        <v>2.5832975333333334E-2</v>
      </c>
      <c r="AB7">
        <f t="shared" si="6"/>
        <v>1.088386542108901</v>
      </c>
    </row>
    <row r="8" spans="1:28">
      <c r="A8" t="s">
        <v>30</v>
      </c>
      <c r="E8" s="8">
        <f>+E4*E12/E7</f>
        <v>5714.1662994632061</v>
      </c>
      <c r="K8">
        <v>0.12140086179917567</v>
      </c>
      <c r="L8">
        <v>0.11106860707282196</v>
      </c>
      <c r="M8">
        <v>0.39466269257940673</v>
      </c>
      <c r="O8">
        <f t="shared" si="1"/>
        <v>0.61937485357865674</v>
      </c>
      <c r="P8">
        <f t="shared" si="2"/>
        <v>0.617432810496087</v>
      </c>
      <c r="Q8">
        <f t="shared" si="3"/>
        <v>0.45360626198722975</v>
      </c>
      <c r="S8">
        <v>3.3717469323779328E-3</v>
      </c>
      <c r="T8">
        <v>5.1014593067520257E-3</v>
      </c>
      <c r="U8">
        <v>9.4767346295623361E-2</v>
      </c>
      <c r="W8">
        <f t="shared" si="0"/>
        <v>0.61938403105259221</v>
      </c>
      <c r="X8">
        <f t="shared" si="4"/>
        <v>0.76443249251992507</v>
      </c>
      <c r="Y8">
        <f t="shared" si="5"/>
        <v>0.46339992537541685</v>
      </c>
      <c r="Z8">
        <f>0.00000776/(60/Test!G8)*100</f>
        <v>2.5710406133333336E-2</v>
      </c>
      <c r="AB8">
        <f t="shared" si="6"/>
        <v>1.0878392019800844</v>
      </c>
    </row>
    <row r="9" spans="1:28">
      <c r="A9" t="s">
        <v>31</v>
      </c>
      <c r="D9" t="s">
        <v>32</v>
      </c>
      <c r="E9">
        <v>0.215</v>
      </c>
      <c r="F9" t="s">
        <v>33</v>
      </c>
      <c r="K9">
        <v>0.12293970411446452</v>
      </c>
      <c r="L9">
        <v>0.11532223380561285</v>
      </c>
      <c r="M9">
        <v>0.39670606675166009</v>
      </c>
      <c r="O9">
        <f t="shared" si="1"/>
        <v>0.61967831239099536</v>
      </c>
      <c r="P9">
        <f t="shared" si="2"/>
        <v>0.61821214611969277</v>
      </c>
      <c r="Q9">
        <f t="shared" si="3"/>
        <v>0.45538522527369352</v>
      </c>
      <c r="S9">
        <v>5.4295042514026998E-3</v>
      </c>
      <c r="T9">
        <v>1.4726731764656928E-2</v>
      </c>
      <c r="U9">
        <v>9.6294419891543082E-2</v>
      </c>
      <c r="W9">
        <f t="shared" si="0"/>
        <v>0.61970209807952725</v>
      </c>
      <c r="X9">
        <f t="shared" si="4"/>
        <v>0.76471473955641778</v>
      </c>
      <c r="Y9">
        <f t="shared" si="5"/>
        <v>0.46545495883041288</v>
      </c>
      <c r="Z9">
        <f>0.00000776/(60/Test!G9)*100</f>
        <v>2.5635535066666666E-2</v>
      </c>
      <c r="AB9">
        <f t="shared" si="6"/>
        <v>1.0890935784481439</v>
      </c>
    </row>
    <row r="10" spans="1:28">
      <c r="A10" t="s">
        <v>34</v>
      </c>
      <c r="E10" s="9">
        <v>500</v>
      </c>
      <c r="F10" t="s">
        <v>35</v>
      </c>
      <c r="K10">
        <v>0.12516923223443319</v>
      </c>
      <c r="L10">
        <v>0.11484190921343344</v>
      </c>
      <c r="M10">
        <v>0.39726423807201172</v>
      </c>
      <c r="O10">
        <f t="shared" si="1"/>
        <v>0.62012448484006621</v>
      </c>
      <c r="P10">
        <f t="shared" si="2"/>
        <v>0.61812272576874772</v>
      </c>
      <c r="Q10">
        <f t="shared" si="3"/>
        <v>0.45587155521148282</v>
      </c>
      <c r="S10">
        <v>4.5555771972385665E-3</v>
      </c>
      <c r="T10">
        <v>1.0585852581822588E-2</v>
      </c>
      <c r="U10">
        <v>9.4791021855250013E-2</v>
      </c>
      <c r="W10">
        <f t="shared" si="0"/>
        <v>0.62014121777362741</v>
      </c>
      <c r="X10">
        <f t="shared" si="4"/>
        <v>0.76462813064045931</v>
      </c>
      <c r="Y10">
        <f t="shared" si="5"/>
        <v>0.46562239279839035</v>
      </c>
      <c r="Z10">
        <f>0.00000776/(60/Test!G10)*100</f>
        <v>2.5600252933333338E-2</v>
      </c>
      <c r="AB10">
        <f t="shared" si="6"/>
        <v>1.0893534292294811</v>
      </c>
    </row>
    <row r="11" spans="1:28">
      <c r="A11" t="s">
        <v>36</v>
      </c>
      <c r="E11" s="10">
        <v>1.2050000000000001</v>
      </c>
      <c r="F11" t="s">
        <v>37</v>
      </c>
      <c r="K11">
        <v>0.12936643226512592</v>
      </c>
      <c r="L11">
        <v>7.648637664997332E-2</v>
      </c>
      <c r="M11">
        <v>0.39758880800582902</v>
      </c>
      <c r="O11">
        <f t="shared" si="1"/>
        <v>0.62098527663464564</v>
      </c>
      <c r="P11">
        <f t="shared" si="2"/>
        <v>0.61215782753554793</v>
      </c>
      <c r="Q11">
        <f t="shared" si="3"/>
        <v>0.45615442588173577</v>
      </c>
      <c r="S11">
        <v>3.6506598220047838E-3</v>
      </c>
      <c r="T11">
        <v>1.1072633050024117E-2</v>
      </c>
      <c r="U11">
        <v>9.7312468955489562E-2</v>
      </c>
      <c r="W11">
        <f t="shared" si="0"/>
        <v>0.62099600732544435</v>
      </c>
      <c r="X11">
        <f t="shared" si="4"/>
        <v>0.76343440878690649</v>
      </c>
      <c r="Y11">
        <f t="shared" si="5"/>
        <v>0.46641888562290129</v>
      </c>
      <c r="Z11">
        <f>0.00000776/(60/Test!G11)*100</f>
        <v>2.5579585466666666E-2</v>
      </c>
      <c r="AB11">
        <f t="shared" si="6"/>
        <v>1.0893433938351635</v>
      </c>
    </row>
    <row r="12" spans="1:28">
      <c r="A12" t="s">
        <v>38</v>
      </c>
      <c r="D12" t="s">
        <v>39</v>
      </c>
      <c r="E12">
        <v>0.3</v>
      </c>
      <c r="F12" t="s">
        <v>33</v>
      </c>
    </row>
    <row r="13" spans="1:28">
      <c r="A13" t="s">
        <v>40</v>
      </c>
      <c r="E13" s="11">
        <f>+E9/E12</f>
        <v>0.71666666666666667</v>
      </c>
    </row>
    <row r="14" spans="1:28">
      <c r="A14" s="12" t="s">
        <v>41</v>
      </c>
      <c r="B14" s="12"/>
      <c r="C14" s="12"/>
      <c r="D14" s="12"/>
      <c r="E14" s="13">
        <v>0</v>
      </c>
      <c r="F14" s="12" t="s">
        <v>33</v>
      </c>
      <c r="K14">
        <v>0.12763405335105943</v>
      </c>
      <c r="L14">
        <v>2.2442520397167343</v>
      </c>
      <c r="M14">
        <v>0.42174587353844806</v>
      </c>
      <c r="O14">
        <f t="shared" si="1"/>
        <v>0.62062669260580561</v>
      </c>
      <c r="P14">
        <f t="shared" si="2"/>
        <v>2.3249847865680158</v>
      </c>
      <c r="Q14">
        <f t="shared" si="3"/>
        <v>0.47735687053472753</v>
      </c>
      <c r="S14">
        <v>3.9543649684873547E-3</v>
      </c>
      <c r="T14">
        <v>1.7848617167389399E-3</v>
      </c>
      <c r="U14">
        <v>0.13500395988113628</v>
      </c>
      <c r="W14">
        <f t="shared" si="0"/>
        <v>0.62063929022994113</v>
      </c>
      <c r="X14">
        <f t="shared" si="4"/>
        <v>1.3566196747940893</v>
      </c>
      <c r="Y14">
        <f t="shared" si="5"/>
        <v>0.49608028687934785</v>
      </c>
      <c r="Z14">
        <f>0.00000776/(60/Test!G14)*100</f>
        <v>2.5028662585333337E-2</v>
      </c>
      <c r="AB14">
        <f t="shared" si="6"/>
        <v>1.5723651470306292</v>
      </c>
    </row>
    <row r="15" spans="1:28">
      <c r="A15" s="12" t="s">
        <v>42</v>
      </c>
      <c r="B15" s="12"/>
      <c r="C15" s="12"/>
      <c r="D15" s="12"/>
      <c r="E15" s="15">
        <v>0</v>
      </c>
      <c r="F15" s="16" t="s">
        <v>33</v>
      </c>
      <c r="K15">
        <v>0.12446825734464936</v>
      </c>
      <c r="L15">
        <v>1.6191511607959499</v>
      </c>
      <c r="M15">
        <v>0.39137888420160682</v>
      </c>
      <c r="O15">
        <f t="shared" si="1"/>
        <v>0.61998337645973522</v>
      </c>
      <c r="P15">
        <f t="shared" si="2"/>
        <v>1.7293170679510661</v>
      </c>
      <c r="Q15">
        <f t="shared" si="3"/>
        <v>0.45075207265069206</v>
      </c>
      <c r="S15">
        <v>4.2022875370445554E-3</v>
      </c>
      <c r="T15">
        <v>1.7524096855255054E-3</v>
      </c>
      <c r="U15">
        <v>0.1002541572391024</v>
      </c>
      <c r="W15">
        <f t="shared" si="0"/>
        <v>0.61999761798490627</v>
      </c>
      <c r="X15">
        <f t="shared" si="4"/>
        <v>1.1120533454741803</v>
      </c>
      <c r="Y15">
        <f t="shared" si="5"/>
        <v>0.46176652871620893</v>
      </c>
      <c r="Z15">
        <f>0.00000776/(60/Test!G15)*100</f>
        <v>2.4862672564000002E-2</v>
      </c>
      <c r="AB15">
        <f t="shared" si="6"/>
        <v>1.3545870843238232</v>
      </c>
    </row>
    <row r="16" spans="1:28">
      <c r="A16" s="17" t="s">
        <v>43</v>
      </c>
      <c r="B16" s="18"/>
      <c r="C16" s="18"/>
      <c r="D16" s="18"/>
      <c r="E16" s="18">
        <v>100000</v>
      </c>
      <c r="F16" s="19" t="s">
        <v>35</v>
      </c>
      <c r="K16">
        <v>0.12280360679756981</v>
      </c>
      <c r="L16">
        <v>0.91236992528300742</v>
      </c>
      <c r="M16">
        <v>0.3871672304615259</v>
      </c>
      <c r="O16">
        <f t="shared" si="1"/>
        <v>0.61965132602334694</v>
      </c>
      <c r="P16">
        <f t="shared" si="2"/>
        <v>1.0960410213860248</v>
      </c>
      <c r="Q16">
        <f t="shared" si="3"/>
        <v>0.44710006077303133</v>
      </c>
      <c r="S16">
        <v>2.5350082634973789E-3</v>
      </c>
      <c r="T16">
        <v>2.083420403902545E-3</v>
      </c>
      <c r="U16">
        <v>9.1233769021343974E-2</v>
      </c>
      <c r="W16">
        <f t="shared" si="0"/>
        <v>0.61965651139109978</v>
      </c>
      <c r="X16">
        <f t="shared" si="4"/>
        <v>0.88845709668205253</v>
      </c>
      <c r="Y16">
        <f t="shared" si="5"/>
        <v>0.45631355990490602</v>
      </c>
      <c r="Z16">
        <f>0.00000776/(60/Test!G16)*100</f>
        <v>2.4775388860000004E-2</v>
      </c>
      <c r="AB16">
        <f t="shared" si="6"/>
        <v>1.1756555999102556</v>
      </c>
    </row>
    <row r="17" spans="1:28">
      <c r="A17" s="20" t="s">
        <v>44</v>
      </c>
      <c r="B17" s="12"/>
      <c r="C17" s="12"/>
      <c r="D17" s="12"/>
      <c r="E17" s="36">
        <f>100000-E10-E23</f>
        <v>99265.504993925671</v>
      </c>
      <c r="F17" s="21" t="s">
        <v>35</v>
      </c>
      <c r="K17">
        <v>0.12154924178582205</v>
      </c>
      <c r="L17">
        <v>0.35316614125528106</v>
      </c>
      <c r="M17">
        <v>0.38552743845971088</v>
      </c>
      <c r="O17">
        <f t="shared" si="1"/>
        <v>0.61940395395792258</v>
      </c>
      <c r="P17">
        <f t="shared" si="2"/>
        <v>0.70257623310865358</v>
      </c>
      <c r="Q17">
        <f t="shared" si="3"/>
        <v>0.44568083401163455</v>
      </c>
      <c r="S17">
        <v>4.0597320601241651E-3</v>
      </c>
      <c r="T17">
        <v>3.2516935275862147E-3</v>
      </c>
      <c r="U17">
        <v>7.6122843089626635E-2</v>
      </c>
      <c r="W17">
        <f t="shared" si="0"/>
        <v>0.61941725807657977</v>
      </c>
      <c r="X17">
        <f t="shared" si="4"/>
        <v>0.78258488754062727</v>
      </c>
      <c r="Y17">
        <f t="shared" si="5"/>
        <v>0.45213503850658826</v>
      </c>
      <c r="Z17">
        <f>0.00000776/(60/Test!G17)*100</f>
        <v>2.4658311411999999E-2</v>
      </c>
      <c r="AB17">
        <f t="shared" si="6"/>
        <v>1.0959703331646937</v>
      </c>
    </row>
    <row r="18" spans="1:28">
      <c r="A18" s="22" t="s">
        <v>45</v>
      </c>
      <c r="B18" s="23"/>
      <c r="C18" s="23"/>
      <c r="D18" s="23"/>
      <c r="E18" s="24">
        <f>1-(0.351+0.256*E13^4+0.93*E13^8)*(1-(E17/E16)^(1/1.4))</f>
        <v>0.99746201615938335</v>
      </c>
      <c r="F18" s="25"/>
      <c r="K18">
        <v>0.1217954318948897</v>
      </c>
      <c r="L18">
        <v>0.14550506711404404</v>
      </c>
      <c r="M18">
        <v>0.38733186879473369</v>
      </c>
      <c r="O18">
        <f t="shared" si="1"/>
        <v>0.61945231231343612</v>
      </c>
      <c r="P18">
        <f t="shared" si="2"/>
        <v>0.62454684736684285</v>
      </c>
      <c r="Q18">
        <f t="shared" si="3"/>
        <v>0.44724263726082825</v>
      </c>
      <c r="S18">
        <v>2.6961579330595595E-3</v>
      </c>
      <c r="T18">
        <v>6.4319925865028733E-3</v>
      </c>
      <c r="U18">
        <v>6.749310160570815E-2</v>
      </c>
      <c r="W18">
        <f t="shared" si="0"/>
        <v>0.61945817978138185</v>
      </c>
      <c r="X18">
        <f t="shared" si="4"/>
        <v>0.76588592723165438</v>
      </c>
      <c r="Y18">
        <f t="shared" si="5"/>
        <v>0.45230663862956871</v>
      </c>
      <c r="Z18">
        <f>0.00000776/(60/Test!G18)*100</f>
        <v>2.4511782694666667E-2</v>
      </c>
      <c r="AB18">
        <f t="shared" si="6"/>
        <v>1.0842010020604129</v>
      </c>
    </row>
    <row r="19" spans="1:28">
      <c r="A19" t="s">
        <v>46</v>
      </c>
      <c r="C19" t="s">
        <v>6</v>
      </c>
      <c r="E19" s="26">
        <f>0.5961+0.0261*E13^2-0.216*E13^8+0.000521*(1000000*E13/E8)^0.7+(0.0188+0.0063*((19000*E13/E8)^0.8))*E13^3.5*(1000000/E8)^0.3+(0.043+0.08*EXP(-10*E14/E12)-0.123*EXP(-7*E14/E12))*(1-0.11*(19000*E13/E8)^0.8)*(E13^4/(1-E13^4))-0.031*(2*(E15/E12)/(1-E13)-0.8*((2*(E15/E12)/(1-E13))^1.1))*E13^1.3</f>
        <v>0.65591154544352426</v>
      </c>
      <c r="K19">
        <v>0.12432338778550905</v>
      </c>
      <c r="L19">
        <v>0.11147416300972823</v>
      </c>
      <c r="M19">
        <v>0.38968873891102046</v>
      </c>
      <c r="O19">
        <f t="shared" si="1"/>
        <v>0.61995430859900158</v>
      </c>
      <c r="P19">
        <f t="shared" si="2"/>
        <v>0.61750589391415489</v>
      </c>
      <c r="Q19">
        <f t="shared" si="3"/>
        <v>0.44928533609952315</v>
      </c>
      <c r="S19">
        <v>2.5226121350695194E-3</v>
      </c>
      <c r="T19">
        <v>9.125511177218E-3</v>
      </c>
      <c r="U19">
        <v>6.4332414395548695E-2</v>
      </c>
      <c r="W19">
        <f t="shared" si="0"/>
        <v>0.61995944086887667</v>
      </c>
      <c r="X19">
        <f t="shared" si="4"/>
        <v>0.76448469512006456</v>
      </c>
      <c r="Y19">
        <f t="shared" si="5"/>
        <v>0.45386779217743806</v>
      </c>
      <c r="Z19">
        <f>0.00000776/(60/Test!G19)*100</f>
        <v>2.4420117953333334E-2</v>
      </c>
      <c r="AB19">
        <f t="shared" si="6"/>
        <v>1.0841489161236777</v>
      </c>
    </row>
    <row r="20" spans="1:28">
      <c r="A20" t="s">
        <v>47</v>
      </c>
      <c r="E20" s="27">
        <f>+E19*((PI()/4)*E9^2*(2*E10*E11)^0.5)/((1-E13^4)^0.5)</f>
        <v>0.96339995990915284</v>
      </c>
      <c r="F20" t="s">
        <v>48</v>
      </c>
      <c r="K20">
        <v>0.12800868011985647</v>
      </c>
      <c r="L20">
        <v>0.11222071850214606</v>
      </c>
      <c r="M20">
        <v>0.39072533485926048</v>
      </c>
      <c r="O20">
        <f t="shared" si="1"/>
        <v>0.62070384418499269</v>
      </c>
      <c r="P20">
        <f t="shared" si="2"/>
        <v>0.61764110101347525</v>
      </c>
      <c r="Q20">
        <f t="shared" si="3"/>
        <v>0.45018472575253066</v>
      </c>
      <c r="S20">
        <v>4.4502101056017561E-3</v>
      </c>
      <c r="T20">
        <v>6.5423294926285529E-3</v>
      </c>
      <c r="U20">
        <v>6.4604683331255311E-2</v>
      </c>
      <c r="W20">
        <f t="shared" si="0"/>
        <v>0.6207197971355608</v>
      </c>
      <c r="X20">
        <f t="shared" si="4"/>
        <v>0.76448553050686785</v>
      </c>
      <c r="Y20">
        <f t="shared" si="5"/>
        <v>0.45479671547759998</v>
      </c>
      <c r="Z20">
        <f>0.00000776/(60/Test!G20)*100</f>
        <v>2.4380659129333335E-2</v>
      </c>
      <c r="AB20">
        <f t="shared" si="6"/>
        <v>1.0849726548900542</v>
      </c>
    </row>
    <row r="21" spans="1:28">
      <c r="E21" s="26">
        <f>+E20/1.2</f>
        <v>0.80283329992429409</v>
      </c>
      <c r="F21" t="s">
        <v>22</v>
      </c>
      <c r="K21">
        <v>0.1329942573748025</v>
      </c>
      <c r="L21">
        <v>0.11519394255967849</v>
      </c>
      <c r="M21">
        <v>0.39124614298126742</v>
      </c>
      <c r="O21">
        <f t="shared" si="1"/>
        <v>0.62175116605815484</v>
      </c>
      <c r="P21">
        <f t="shared" si="2"/>
        <v>0.6181882273243664</v>
      </c>
      <c r="Q21">
        <f t="shared" si="3"/>
        <v>0.45063682095199276</v>
      </c>
      <c r="S21">
        <v>3.1114282353928717E-3</v>
      </c>
      <c r="T21">
        <v>7.4444959603620535E-3</v>
      </c>
      <c r="U21">
        <v>6.5332706789775194E-2</v>
      </c>
      <c r="W21">
        <f t="shared" si="0"/>
        <v>0.6217589512667584</v>
      </c>
      <c r="X21">
        <f t="shared" si="4"/>
        <v>0.76460433132739125</v>
      </c>
      <c r="Y21">
        <f t="shared" si="5"/>
        <v>0.45534811625194754</v>
      </c>
      <c r="Z21">
        <f>0.00000776/(60/Test!G21)*100</f>
        <v>2.4360707263999998E-2</v>
      </c>
      <c r="AB21">
        <f t="shared" si="6"/>
        <v>1.0858818204563265</v>
      </c>
    </row>
    <row r="22" spans="1:28">
      <c r="E22" s="28">
        <f>+E21*3600</f>
        <v>2890.1998797274587</v>
      </c>
      <c r="F22" t="s">
        <v>49</v>
      </c>
      <c r="K22">
        <v>0.14072636251254075</v>
      </c>
      <c r="L22">
        <v>0.11503011719357932</v>
      </c>
      <c r="M22">
        <v>0.39164340676535048</v>
      </c>
      <c r="O22">
        <f t="shared" si="1"/>
        <v>0.62345083936587253</v>
      </c>
      <c r="P22">
        <f t="shared" si="2"/>
        <v>0.61815772086221532</v>
      </c>
      <c r="Q22">
        <f t="shared" si="3"/>
        <v>0.45098177131982814</v>
      </c>
      <c r="S22">
        <v>2.5659985845670292E-3</v>
      </c>
      <c r="T22">
        <v>5.9322313058159694E-3</v>
      </c>
      <c r="U22">
        <v>6.6356674743628344E-2</v>
      </c>
      <c r="W22">
        <f t="shared" si="0"/>
        <v>0.62345611991121475</v>
      </c>
      <c r="X22">
        <f t="shared" si="4"/>
        <v>0.76458493654894244</v>
      </c>
      <c r="Y22">
        <f t="shared" si="5"/>
        <v>0.45583743412076355</v>
      </c>
      <c r="Z22">
        <f>0.00000776/(60/Test!G22)*100</f>
        <v>2.434305973066667E-2</v>
      </c>
      <c r="AB22">
        <f t="shared" si="6"/>
        <v>1.0870455416196461</v>
      </c>
    </row>
    <row r="23" spans="1:28">
      <c r="A23" t="s">
        <v>50</v>
      </c>
      <c r="E23" s="29">
        <f>+E10*(1-B32^1.9)</f>
        <v>234.49500607433242</v>
      </c>
      <c r="F23" t="s">
        <v>35</v>
      </c>
    </row>
    <row r="25" spans="1:28">
      <c r="A25" s="30" t="s">
        <v>51</v>
      </c>
      <c r="B25" s="18"/>
      <c r="C25" s="18"/>
      <c r="D25" s="18"/>
      <c r="E25" s="19"/>
      <c r="K25">
        <v>0.12246781006708604</v>
      </c>
      <c r="L25">
        <v>2.2545342656707623</v>
      </c>
      <c r="M25">
        <v>0.46157461169849195</v>
      </c>
      <c r="O25">
        <f t="shared" si="1"/>
        <v>0.61958486464941009</v>
      </c>
      <c r="P25">
        <f t="shared" si="2"/>
        <v>2.334911517613377</v>
      </c>
      <c r="Q25">
        <f t="shared" si="3"/>
        <v>0.51288509645398517</v>
      </c>
      <c r="S25">
        <v>3.7263406652825546E-3</v>
      </c>
      <c r="T25">
        <v>1.7524096855255054E-3</v>
      </c>
      <c r="U25">
        <v>0.10237311982568868</v>
      </c>
      <c r="W25">
        <f t="shared" si="0"/>
        <v>0.61959607012745133</v>
      </c>
      <c r="X25">
        <f t="shared" si="4"/>
        <v>1.3608751638465959</v>
      </c>
      <c r="Y25">
        <f t="shared" si="5"/>
        <v>0.52300227325266813</v>
      </c>
      <c r="Z25">
        <f>0.00000776/(60/Test!G25)*100</f>
        <v>2.3053211025333333E-2</v>
      </c>
      <c r="AB25">
        <f t="shared" si="6"/>
        <v>1.5842800667994019</v>
      </c>
    </row>
    <row r="26" spans="1:28">
      <c r="A26" s="20" t="s">
        <v>52</v>
      </c>
      <c r="B26" s="12">
        <f>(1.667*E13-0.5)/100*B27</f>
        <v>4.5565081876052559E-3</v>
      </c>
      <c r="C26" s="31">
        <f>+B26/B27</f>
        <v>6.9468333333333335E-3</v>
      </c>
      <c r="D26" s="12"/>
      <c r="E26" s="21"/>
      <c r="K26">
        <v>0.12135627786581608</v>
      </c>
      <c r="L26">
        <v>1.6976966834036968</v>
      </c>
      <c r="M26">
        <v>0.40547862908090559</v>
      </c>
      <c r="O26">
        <f t="shared" si="1"/>
        <v>0.61936611642666173</v>
      </c>
      <c r="P26">
        <f t="shared" si="2"/>
        <v>1.8030699012628191</v>
      </c>
      <c r="Q26">
        <f t="shared" si="3"/>
        <v>0.46304742590941012</v>
      </c>
      <c r="S26">
        <v>3.409474962452406E-3</v>
      </c>
      <c r="T26">
        <v>1.7459192792828183E-3</v>
      </c>
      <c r="U26">
        <v>8.0189120455505913E-2</v>
      </c>
      <c r="W26">
        <f t="shared" si="0"/>
        <v>0.61937550056243318</v>
      </c>
      <c r="X26">
        <f t="shared" si="4"/>
        <v>1.140961658999986</v>
      </c>
      <c r="Y26">
        <f t="shared" si="5"/>
        <v>0.46993958513915202</v>
      </c>
      <c r="Z26">
        <f>0.00000776/(60/Test!G26)*100</f>
        <v>2.2942877922666666E-2</v>
      </c>
      <c r="AB26">
        <f t="shared" si="6"/>
        <v>1.3808653472852079</v>
      </c>
    </row>
    <row r="27" spans="1:28">
      <c r="A27" s="20" t="s">
        <v>6</v>
      </c>
      <c r="B27" s="32">
        <f>+E19</f>
        <v>0.65591154544352426</v>
      </c>
      <c r="C27" s="12"/>
      <c r="D27" s="12">
        <f>+(B26/B27)^2</f>
        <v>4.8258493361111111E-5</v>
      </c>
      <c r="E27" s="33">
        <f>+D27/$D$41</f>
        <v>6.8614460501806342E-3</v>
      </c>
      <c r="K27">
        <v>0.12176427045841107</v>
      </c>
      <c r="L27">
        <v>0.98719696341367547</v>
      </c>
      <c r="M27">
        <v>0.39307895614836763</v>
      </c>
      <c r="O27">
        <f t="shared" si="1"/>
        <v>0.61944618616976654</v>
      </c>
      <c r="P27">
        <f t="shared" si="2"/>
        <v>1.1590706986949424</v>
      </c>
      <c r="Q27">
        <f t="shared" si="3"/>
        <v>0.45222899704319086</v>
      </c>
      <c r="S27">
        <v>4.1699526492447632E-3</v>
      </c>
      <c r="T27">
        <v>1.882217810379246E-3</v>
      </c>
      <c r="U27">
        <v>7.5436251860453427E-2</v>
      </c>
      <c r="W27">
        <f t="shared" si="0"/>
        <v>0.61946022153594815</v>
      </c>
      <c r="X27">
        <f t="shared" si="4"/>
        <v>0.90823452684374084</v>
      </c>
      <c r="Y27">
        <f t="shared" si="5"/>
        <v>0.45847758272509259</v>
      </c>
      <c r="Z27">
        <f>0.00000776/(60/Test!G27)*100</f>
        <v>2.2872983861333334E-2</v>
      </c>
      <c r="AB27">
        <f t="shared" si="6"/>
        <v>1.1913629963485541</v>
      </c>
    </row>
    <row r="28" spans="1:28">
      <c r="A28" s="20" t="s">
        <v>53</v>
      </c>
      <c r="B28" s="12">
        <f>0.1/1000</f>
        <v>1E-4</v>
      </c>
      <c r="C28" s="31">
        <f>+B28/B29</f>
        <v>3.3333333333333338E-4</v>
      </c>
      <c r="D28" s="12"/>
      <c r="E28" s="21"/>
      <c r="K28">
        <v>0.12368102787764122</v>
      </c>
      <c r="L28">
        <v>0.38736197074580991</v>
      </c>
      <c r="M28">
        <v>0.38757997675411643</v>
      </c>
      <c r="O28">
        <f t="shared" si="1"/>
        <v>0.61982581154455796</v>
      </c>
      <c r="P28">
        <f t="shared" si="2"/>
        <v>0.72037235953364953</v>
      </c>
      <c r="Q28">
        <f t="shared" si="3"/>
        <v>0.44745752690140483</v>
      </c>
      <c r="S28">
        <v>2.0596270683959695E-3</v>
      </c>
      <c r="T28">
        <v>2.6805377782297543E-3</v>
      </c>
      <c r="U28">
        <v>7.0227628742587658E-2</v>
      </c>
      <c r="W28">
        <f t="shared" si="0"/>
        <v>0.6198292335155956</v>
      </c>
      <c r="X28">
        <f t="shared" si="4"/>
        <v>0.78661709951010639</v>
      </c>
      <c r="Y28">
        <f t="shared" si="5"/>
        <v>0.45293504856604788</v>
      </c>
      <c r="Z28">
        <f>0.00000776/(60/Test!G28)*100</f>
        <v>2.2790684017333331E-2</v>
      </c>
      <c r="AB28">
        <f t="shared" si="6"/>
        <v>1.0993745101009615</v>
      </c>
    </row>
    <row r="29" spans="1:28">
      <c r="A29" s="20" t="s">
        <v>39</v>
      </c>
      <c r="B29" s="12">
        <f>+E12</f>
        <v>0.3</v>
      </c>
      <c r="C29" s="12"/>
      <c r="D29" s="12">
        <f>+(2*B32^4/(1-B32^4))^2*(B28/B29)^2</f>
        <v>5.7063606807607283E-8</v>
      </c>
      <c r="E29" s="33">
        <f>+D29/$D$41</f>
        <v>8.113366834917345E-6</v>
      </c>
      <c r="K29">
        <v>0.12752697153251291</v>
      </c>
      <c r="L29">
        <v>0.19530933328724367</v>
      </c>
      <c r="M29">
        <v>0.38571274111414305</v>
      </c>
      <c r="O29">
        <f t="shared" si="1"/>
        <v>0.62060467970218713</v>
      </c>
      <c r="P29">
        <f t="shared" si="2"/>
        <v>0.63799120344179328</v>
      </c>
      <c r="Q29">
        <f t="shared" si="3"/>
        <v>0.44584113612113674</v>
      </c>
      <c r="S29">
        <v>4.1446033930183515E-3</v>
      </c>
      <c r="T29">
        <v>3.8747725268841724E-3</v>
      </c>
      <c r="U29">
        <v>5.8543740066829719E-2</v>
      </c>
      <c r="W29">
        <f t="shared" si="0"/>
        <v>0.62061851906427967</v>
      </c>
      <c r="X29">
        <f t="shared" si="4"/>
        <v>0.76863411298439299</v>
      </c>
      <c r="Y29">
        <f t="shared" si="5"/>
        <v>0.44966842023739945</v>
      </c>
      <c r="Z29">
        <f>0.00000776/(60/Test!G29)*100</f>
        <v>2.2722622738666671E-2</v>
      </c>
      <c r="AB29">
        <f t="shared" si="6"/>
        <v>1.0856720276362317</v>
      </c>
    </row>
    <row r="30" spans="1:28">
      <c r="A30" s="20" t="s">
        <v>54</v>
      </c>
      <c r="B30" s="12">
        <f>2/100/1000</f>
        <v>2.0000000000000002E-5</v>
      </c>
      <c r="C30" s="31">
        <f>+B30/B31</f>
        <v>9.3023255813953496E-5</v>
      </c>
      <c r="D30" s="12"/>
      <c r="E30" s="21"/>
      <c r="K30">
        <v>0.13612341176400589</v>
      </c>
      <c r="L30">
        <v>0.11822767559905227</v>
      </c>
      <c r="M30">
        <v>0.38571120766025579</v>
      </c>
      <c r="O30">
        <f t="shared" si="1"/>
        <v>0.62242800646361751</v>
      </c>
      <c r="P30">
        <f t="shared" si="2"/>
        <v>0.6187607156870536</v>
      </c>
      <c r="Q30">
        <f t="shared" si="3"/>
        <v>0.44583980947727514</v>
      </c>
      <c r="S30">
        <v>3.4981973592448467E-3</v>
      </c>
      <c r="T30">
        <v>6.4774254302016826E-3</v>
      </c>
      <c r="U30">
        <v>5.8354335589816418E-2</v>
      </c>
      <c r="W30">
        <f t="shared" si="0"/>
        <v>0.62243783674760433</v>
      </c>
      <c r="X30">
        <f t="shared" si="4"/>
        <v>0.764711288476563</v>
      </c>
      <c r="Y30">
        <f t="shared" si="5"/>
        <v>0.4496424848664346</v>
      </c>
      <c r="Z30">
        <f>0.00000776/(60/Test!G30)*100</f>
        <v>2.2654463683999999E-2</v>
      </c>
      <c r="AB30">
        <f t="shared" si="6"/>
        <v>1.0839297967397123</v>
      </c>
    </row>
    <row r="31" spans="1:28">
      <c r="A31" s="20" t="s">
        <v>32</v>
      </c>
      <c r="B31" s="12">
        <f>+E9</f>
        <v>0.215</v>
      </c>
      <c r="C31" s="12"/>
      <c r="D31" s="12">
        <f>+(2/(1-B32^4))^2*(B30/B31)^2</f>
        <v>6.3862682668512011E-8</v>
      </c>
      <c r="E31" s="33">
        <f>+D31/$D$41</f>
        <v>9.0800669733074332E-6</v>
      </c>
      <c r="K31">
        <v>0.14685251450894299</v>
      </c>
      <c r="L31">
        <v>0.11102077503413586</v>
      </c>
      <c r="M31">
        <v>0.38610434499820639</v>
      </c>
      <c r="O31">
        <f t="shared" si="1"/>
        <v>0.62486214561101339</v>
      </c>
      <c r="P31">
        <f t="shared" si="2"/>
        <v>0.6174242078904747</v>
      </c>
      <c r="Q31">
        <f t="shared" si="3"/>
        <v>0.44617996954871697</v>
      </c>
      <c r="S31">
        <v>3.6186063263203036E-3</v>
      </c>
      <c r="T31">
        <v>6.9836771171312732E-3</v>
      </c>
      <c r="U31">
        <v>5.9366465763856249E-2</v>
      </c>
      <c r="W31">
        <f t="shared" si="0"/>
        <v>0.62487262328361304</v>
      </c>
      <c r="X31">
        <f t="shared" si="4"/>
        <v>0.76444563360141182</v>
      </c>
      <c r="Y31">
        <f t="shared" si="5"/>
        <v>0.45011214434159086</v>
      </c>
      <c r="Z31">
        <f>0.00000776/(60/Test!G31)*100</f>
        <v>2.2626376751999997E-2</v>
      </c>
      <c r="AB31">
        <f t="shared" si="6"/>
        <v>1.0853367299922714</v>
      </c>
    </row>
    <row r="32" spans="1:28">
      <c r="A32" s="20" t="s">
        <v>55</v>
      </c>
      <c r="B32" s="12">
        <f>+B31/B29</f>
        <v>0.71666666666666667</v>
      </c>
      <c r="C32" s="12"/>
      <c r="D32" s="12"/>
      <c r="E32" s="21"/>
      <c r="K32">
        <v>0.15300230126077122</v>
      </c>
      <c r="L32">
        <v>0.11209693166420706</v>
      </c>
      <c r="M32">
        <v>0.3862499873208754</v>
      </c>
      <c r="O32">
        <f t="shared" si="1"/>
        <v>0.62633596750553278</v>
      </c>
      <c r="P32">
        <f t="shared" si="2"/>
        <v>0.61761862187642136</v>
      </c>
      <c r="Q32">
        <f t="shared" si="3"/>
        <v>0.44630600791987601</v>
      </c>
      <c r="S32">
        <v>2.8708032676411522E-3</v>
      </c>
      <c r="T32">
        <v>7.8988243973501463E-3</v>
      </c>
      <c r="U32">
        <v>6.0135921451722772E-2</v>
      </c>
      <c r="W32">
        <f t="shared" si="0"/>
        <v>0.62634254661685984</v>
      </c>
      <c r="X32">
        <f t="shared" si="4"/>
        <v>0.76449380233778563</v>
      </c>
      <c r="Y32">
        <f t="shared" si="5"/>
        <v>0.45033918523067051</v>
      </c>
      <c r="Z32">
        <f>0.00000776/(60/Test!G32)*100</f>
        <v>2.2616416274666672E-2</v>
      </c>
      <c r="AB32">
        <f t="shared" si="6"/>
        <v>1.0863114855117346</v>
      </c>
    </row>
    <row r="33" spans="1:28">
      <c r="A33" s="20" t="s">
        <v>56</v>
      </c>
      <c r="B33" s="12">
        <v>0.29499999999999998</v>
      </c>
      <c r="C33" s="31">
        <f>+B33/B34</f>
        <v>5.8999999999999992E-4</v>
      </c>
      <c r="D33" s="12"/>
      <c r="E33" s="21"/>
      <c r="K33">
        <v>0.16158907227693153</v>
      </c>
      <c r="L33">
        <v>0.11494468904349678</v>
      </c>
      <c r="M33">
        <v>0.3863859110638258</v>
      </c>
      <c r="O33">
        <f t="shared" si="1"/>
        <v>0.62848871770248937</v>
      </c>
      <c r="P33">
        <f t="shared" si="2"/>
        <v>0.61814182963079445</v>
      </c>
      <c r="Q33">
        <f t="shared" si="3"/>
        <v>0.44642364662797906</v>
      </c>
      <c r="S33">
        <v>3.6439555825467161E-3</v>
      </c>
      <c r="T33">
        <v>6.1593955243100162E-3</v>
      </c>
      <c r="U33">
        <v>5.960914025002953E-2</v>
      </c>
      <c r="W33">
        <f t="shared" si="0"/>
        <v>0.62849928137716038</v>
      </c>
      <c r="X33">
        <f t="shared" si="4"/>
        <v>0.76458352088044901</v>
      </c>
      <c r="Y33">
        <f t="shared" si="5"/>
        <v>0.45038574785395957</v>
      </c>
      <c r="Z33">
        <f>0.00000776/(60/Test!G33)*100</f>
        <v>2.2609178264000003E-2</v>
      </c>
      <c r="AB33">
        <f t="shared" si="6"/>
        <v>1.0876386366368633</v>
      </c>
    </row>
    <row r="34" spans="1:28">
      <c r="A34" s="20" t="s">
        <v>57</v>
      </c>
      <c r="B34" s="12">
        <f>+E10</f>
        <v>500</v>
      </c>
      <c r="C34" s="12"/>
      <c r="D34" s="12">
        <f>+(1/4)*(B33/B34)^2</f>
        <v>8.7024999999999974E-8</v>
      </c>
      <c r="E34" s="33">
        <f>+D34/$D$41</f>
        <v>1.2373310912316087E-5</v>
      </c>
    </row>
    <row r="35" spans="1:28">
      <c r="A35" s="20" t="s">
        <v>58</v>
      </c>
      <c r="B35" s="12">
        <f>+B36/500*1</f>
        <v>2.4100000000000002E-3</v>
      </c>
      <c r="C35" s="31">
        <f>+B35/B36</f>
        <v>2E-3</v>
      </c>
      <c r="D35" s="12"/>
      <c r="E35" s="21"/>
    </row>
    <row r="36" spans="1:28">
      <c r="A36" s="20" t="s">
        <v>36</v>
      </c>
      <c r="B36" s="12">
        <f>E11</f>
        <v>1.2050000000000001</v>
      </c>
      <c r="C36" s="12"/>
      <c r="D36" s="12">
        <f>+(1/4)*(B35/B36)^2</f>
        <v>9.9999999999999995E-7</v>
      </c>
      <c r="E36" s="33">
        <f>+D36/$D$41</f>
        <v>1.4218110786918804E-4</v>
      </c>
      <c r="K36">
        <v>0.12247803851592932</v>
      </c>
      <c r="L36">
        <v>2.1190864912595013</v>
      </c>
      <c r="M36">
        <v>0.51481662031949804</v>
      </c>
      <c r="O36">
        <f t="shared" si="1"/>
        <v>0.61958688649672811</v>
      </c>
      <c r="P36">
        <f t="shared" si="2"/>
        <v>2.2044079925092142</v>
      </c>
      <c r="Q36">
        <f t="shared" si="3"/>
        <v>0.56128081434981381</v>
      </c>
      <c r="S36">
        <v>4.9050810798107096E-3</v>
      </c>
      <c r="T36">
        <v>1.7069768418266954E-3</v>
      </c>
      <c r="U36">
        <v>5.9117872387776299E-2</v>
      </c>
      <c r="W36">
        <f t="shared" si="0"/>
        <v>0.61960630221061253</v>
      </c>
      <c r="X36">
        <f t="shared" si="4"/>
        <v>1.3053282173436138</v>
      </c>
      <c r="Y36">
        <f t="shared" si="5"/>
        <v>0.5643855733386951</v>
      </c>
      <c r="Z36">
        <f>0.00000776/(60/Test!G36)*100</f>
        <v>2.0883220533333333E-2</v>
      </c>
      <c r="AB36">
        <f t="shared" si="6"/>
        <v>1.5513738778983153</v>
      </c>
    </row>
    <row r="37" spans="1:28">
      <c r="A37" s="20" t="s">
        <v>59</v>
      </c>
      <c r="B37" s="12">
        <f>0.035*100/1.4/100000</f>
        <v>2.5000000000000005E-5</v>
      </c>
      <c r="C37" s="31">
        <f>+B37/B38</f>
        <v>2.5063611039806535E-5</v>
      </c>
      <c r="D37" s="12"/>
      <c r="E37" s="21"/>
      <c r="K37">
        <v>0.1267484895303638</v>
      </c>
      <c r="L37">
        <v>1.5969204659246752</v>
      </c>
      <c r="M37">
        <v>0.43428637098884371</v>
      </c>
      <c r="O37">
        <f t="shared" si="1"/>
        <v>0.620445178559902</v>
      </c>
      <c r="P37">
        <f t="shared" si="2"/>
        <v>1.7085204167609709</v>
      </c>
      <c r="Q37">
        <f t="shared" si="3"/>
        <v>0.48847175151349292</v>
      </c>
      <c r="S37">
        <v>3.745352607452364E-3</v>
      </c>
      <c r="T37">
        <v>1.7589000917681925E-3</v>
      </c>
      <c r="U37">
        <v>5.5933509617990172E-2</v>
      </c>
      <c r="W37">
        <f t="shared" si="0"/>
        <v>0.6204564829739333</v>
      </c>
      <c r="X37">
        <f t="shared" si="4"/>
        <v>1.1039876762064402</v>
      </c>
      <c r="Y37">
        <f t="shared" si="5"/>
        <v>0.49166371589211805</v>
      </c>
      <c r="Z37">
        <f>0.00000776/(60/Test!G37)*100</f>
        <v>2.0809914400000001E-2</v>
      </c>
      <c r="AB37">
        <f t="shared" si="6"/>
        <v>1.3586468630745294</v>
      </c>
    </row>
    <row r="38" spans="1:28">
      <c r="A38" s="20" t="str">
        <f>+A18</f>
        <v>epsilon</v>
      </c>
      <c r="B38" s="32">
        <f>+E18</f>
        <v>0.99746201615938335</v>
      </c>
      <c r="C38" s="12"/>
      <c r="D38" s="12">
        <f>+(B37/B38)^2</f>
        <v>6.2818459835471203E-10</v>
      </c>
      <c r="E38" s="33">
        <f>+D38/$D$41</f>
        <v>8.9315982140433885E-8</v>
      </c>
      <c r="K38">
        <v>0.1308866881558155</v>
      </c>
      <c r="L38">
        <v>1.0640327938594316</v>
      </c>
      <c r="M38">
        <v>0.41175915193819435</v>
      </c>
      <c r="O38">
        <f t="shared" si="1"/>
        <v>0.62130376237103035</v>
      </c>
      <c r="P38">
        <f t="shared" si="2"/>
        <v>1.2251746105793686</v>
      </c>
      <c r="Q38">
        <f t="shared" si="3"/>
        <v>0.46855693272521431</v>
      </c>
      <c r="S38">
        <v>3.5805824419806857E-3</v>
      </c>
      <c r="T38">
        <v>1.9795739040195525E-3</v>
      </c>
      <c r="U38">
        <v>5.9407897993202903E-2</v>
      </c>
      <c r="W38">
        <f t="shared" si="0"/>
        <v>0.62131407975920006</v>
      </c>
      <c r="X38">
        <f t="shared" si="4"/>
        <v>0.92967323139843649</v>
      </c>
      <c r="Y38">
        <f t="shared" si="5"/>
        <v>0.47230805365654294</v>
      </c>
      <c r="Z38">
        <f>0.00000776/(60/Test!G38)*100</f>
        <v>2.0771088533333332E-2</v>
      </c>
      <c r="AB38">
        <f t="shared" si="6"/>
        <v>1.2140139367212899</v>
      </c>
    </row>
    <row r="39" spans="1:28">
      <c r="A39" s="20"/>
      <c r="B39" s="12"/>
      <c r="C39" s="12"/>
      <c r="D39" s="12"/>
      <c r="E39" s="21"/>
      <c r="K39">
        <v>0.13833113948376824</v>
      </c>
      <c r="L39">
        <v>0.47924739883541606</v>
      </c>
      <c r="M39">
        <v>0.39690256471134044</v>
      </c>
      <c r="O39">
        <f t="shared" si="1"/>
        <v>0.62291455605955925</v>
      </c>
      <c r="P39">
        <f t="shared" si="2"/>
        <v>0.77366989684910992</v>
      </c>
      <c r="Q39">
        <f t="shared" si="3"/>
        <v>0.4555564134928185</v>
      </c>
      <c r="S39">
        <v>2.591961449150621E-3</v>
      </c>
      <c r="T39">
        <v>2.4014503097942114E-3</v>
      </c>
      <c r="U39">
        <v>6.6356674743628344E-2</v>
      </c>
      <c r="W39">
        <f t="shared" si="0"/>
        <v>0.62291994864110078</v>
      </c>
      <c r="X39">
        <f t="shared" si="4"/>
        <v>0.79916971673738435</v>
      </c>
      <c r="Y39">
        <f t="shared" si="5"/>
        <v>0.46036382802895309</v>
      </c>
      <c r="Z39">
        <f>0.00000776/(60/Test!G39)*100</f>
        <v>2.0722174666666666E-2</v>
      </c>
      <c r="AB39">
        <f t="shared" si="6"/>
        <v>1.1131333079400374</v>
      </c>
    </row>
    <row r="40" spans="1:28">
      <c r="A40" s="20"/>
      <c r="B40" s="12"/>
      <c r="C40" s="12"/>
      <c r="D40" s="12"/>
      <c r="E40" s="21"/>
      <c r="K40">
        <v>0.14986528663889417</v>
      </c>
      <c r="L40">
        <v>0.21578526180851926</v>
      </c>
      <c r="M40">
        <v>0.38992177104226211</v>
      </c>
      <c r="O40">
        <f t="shared" si="1"/>
        <v>0.62557704892311861</v>
      </c>
      <c r="P40">
        <f t="shared" si="2"/>
        <v>0.64455435706678077</v>
      </c>
      <c r="Q40">
        <f t="shared" si="3"/>
        <v>0.44948747205315331</v>
      </c>
      <c r="S40">
        <v>3.4538361608486261E-3</v>
      </c>
      <c r="T40">
        <v>4.1084271516209064E-3</v>
      </c>
      <c r="U40">
        <v>7.5850574153920006E-2</v>
      </c>
      <c r="W40">
        <f t="shared" si="0"/>
        <v>0.62558658323495386</v>
      </c>
      <c r="X40">
        <f t="shared" si="4"/>
        <v>0.77000302002069809</v>
      </c>
      <c r="Y40">
        <f t="shared" si="5"/>
        <v>0.45584240383296243</v>
      </c>
      <c r="Z40">
        <f>0.00000776/(60/Test!G40)*100</f>
        <v>2.0669264399999998E-2</v>
      </c>
      <c r="AB40">
        <f t="shared" si="6"/>
        <v>1.0920085803635566</v>
      </c>
    </row>
    <row r="41" spans="1:28">
      <c r="A41" s="34" t="s">
        <v>60</v>
      </c>
      <c r="B41" s="23"/>
      <c r="C41" s="23"/>
      <c r="D41" s="39">
        <f>+(D27+D29+D31+D34+D36+D38)^0.5</f>
        <v>7.0332832187525044E-3</v>
      </c>
      <c r="E41" s="35"/>
      <c r="K41">
        <v>0.15883480799665053</v>
      </c>
      <c r="L41">
        <v>0.14028182885401913</v>
      </c>
      <c r="M41">
        <v>0.38777449264436525</v>
      </c>
      <c r="O41">
        <f t="shared" si="1"/>
        <v>0.62778621857391292</v>
      </c>
      <c r="P41">
        <f t="shared" si="2"/>
        <v>0.62335064891810965</v>
      </c>
      <c r="Q41">
        <f t="shared" si="3"/>
        <v>0.44762602375822041</v>
      </c>
      <c r="S41">
        <v>3.1433077720750798E-3</v>
      </c>
      <c r="T41">
        <v>5.5947301811962412E-3</v>
      </c>
      <c r="U41">
        <v>8.1432087335905692E-2</v>
      </c>
      <c r="W41">
        <f t="shared" si="0"/>
        <v>0.62779408775097811</v>
      </c>
      <c r="X41">
        <f t="shared" si="4"/>
        <v>0.76563568408633498</v>
      </c>
      <c r="Y41">
        <f t="shared" si="5"/>
        <v>0.45497279258597156</v>
      </c>
      <c r="Z41">
        <f>0.00000776/(60/Test!G41)*100</f>
        <v>2.0636142133333334E-2</v>
      </c>
      <c r="AB41">
        <f t="shared" si="6"/>
        <v>1.0898392127818934</v>
      </c>
    </row>
    <row r="42" spans="1:28">
      <c r="K42">
        <v>0.17120976278606745</v>
      </c>
      <c r="L42">
        <v>0.11378647704972655</v>
      </c>
      <c r="M42">
        <v>0.38679380351675557</v>
      </c>
      <c r="O42">
        <f t="shared" si="1"/>
        <v>0.63103076222420529</v>
      </c>
      <c r="P42">
        <f t="shared" si="2"/>
        <v>0.61792750574754962</v>
      </c>
      <c r="Q42">
        <f t="shared" si="3"/>
        <v>0.44677672996582818</v>
      </c>
      <c r="S42">
        <v>3.5869197560372884E-3</v>
      </c>
      <c r="T42">
        <v>6.3411268991052528E-3</v>
      </c>
      <c r="U42">
        <v>7.8040563419386283E-2</v>
      </c>
      <c r="W42">
        <f t="shared" si="0"/>
        <v>0.63104095656827042</v>
      </c>
      <c r="X42">
        <f t="shared" si="4"/>
        <v>0.76454169431371777</v>
      </c>
      <c r="Y42">
        <f t="shared" si="5"/>
        <v>0.4535413718480088</v>
      </c>
      <c r="Z42">
        <f>0.00000776/(60/Test!G42)*100</f>
        <v>2.0615655733333335E-2</v>
      </c>
      <c r="AB42">
        <f t="shared" si="6"/>
        <v>1.0903492433389301</v>
      </c>
    </row>
    <row r="43" spans="1:28">
      <c r="A43" t="s">
        <v>64</v>
      </c>
      <c r="K43">
        <v>0.17890338254718802</v>
      </c>
      <c r="L43">
        <v>0.11123659045062248</v>
      </c>
      <c r="M43">
        <v>0.38658729720295093</v>
      </c>
      <c r="O43">
        <f t="shared" si="1"/>
        <v>0.63316148041935205</v>
      </c>
      <c r="P43">
        <f t="shared" si="2"/>
        <v>0.61746305076099861</v>
      </c>
      <c r="Q43">
        <f t="shared" si="3"/>
        <v>0.44659796054021872</v>
      </c>
      <c r="S43">
        <v>3.2256928548109183E-3</v>
      </c>
      <c r="T43">
        <v>6.8538689922775309E-3</v>
      </c>
      <c r="U43">
        <v>7.6998838795813138E-2</v>
      </c>
      <c r="W43">
        <f t="shared" si="0"/>
        <v>0.63316969714383764</v>
      </c>
      <c r="X43">
        <f t="shared" si="4"/>
        <v>0.76445230207503834</v>
      </c>
      <c r="Y43">
        <f t="shared" si="5"/>
        <v>0.4531871131603219</v>
      </c>
      <c r="Z43">
        <f>0.00000776/(60/Test!G43)*100</f>
        <v>2.0611672266666665E-2</v>
      </c>
      <c r="AB43">
        <f t="shared" si="6"/>
        <v>1.0913727997789113</v>
      </c>
    </row>
    <row r="44" spans="1:28">
      <c r="A44" s="38" t="s">
        <v>73</v>
      </c>
      <c r="B44" s="40">
        <v>0.2</v>
      </c>
      <c r="K44">
        <v>0.19246496947884828</v>
      </c>
      <c r="L44">
        <v>0.11137241494792577</v>
      </c>
      <c r="M44">
        <v>0.38644511267981657</v>
      </c>
      <c r="O44">
        <f t="shared" si="1"/>
        <v>0.63712620765158767</v>
      </c>
      <c r="P44">
        <f t="shared" si="2"/>
        <v>0.61748753413436042</v>
      </c>
      <c r="Q44">
        <f t="shared" si="3"/>
        <v>0.44647488743950214</v>
      </c>
      <c r="S44">
        <v>3.954483971320262E-3</v>
      </c>
      <c r="T44">
        <v>7.0550715858008293E-3</v>
      </c>
      <c r="U44">
        <v>7.8105671208359623E-2</v>
      </c>
      <c r="W44">
        <f t="shared" si="0"/>
        <v>0.63713847978282823</v>
      </c>
      <c r="X44">
        <f t="shared" si="4"/>
        <v>0.76445907647290479</v>
      </c>
      <c r="Y44">
        <f t="shared" si="5"/>
        <v>0.45325524926803051</v>
      </c>
      <c r="Z44">
        <f>0.00000776/(60/Test!G44)*100</f>
        <v>2.0607197333333334E-2</v>
      </c>
      <c r="AB44">
        <f t="shared" si="6"/>
        <v>1.0937129877590095</v>
      </c>
    </row>
    <row r="45" spans="1:28">
      <c r="A45" t="s">
        <v>69</v>
      </c>
      <c r="B45" s="40">
        <v>9.7999999999999997E-3</v>
      </c>
    </row>
    <row r="46" spans="1:28">
      <c r="A46" t="s">
        <v>65</v>
      </c>
      <c r="B46" s="40">
        <f>(B45^2+B44^2)^0.5</f>
        <v>0.2002399560527319</v>
      </c>
    </row>
    <row r="47" spans="1:28">
      <c r="A47" t="s">
        <v>66</v>
      </c>
      <c r="B47" s="40">
        <f>0.01</f>
        <v>0.01</v>
      </c>
      <c r="K47">
        <v>0.13246260053430234</v>
      </c>
      <c r="L47">
        <v>2.1248904163041118</v>
      </c>
      <c r="M47">
        <v>0.57173644046567007</v>
      </c>
      <c r="O47">
        <f t="shared" si="1"/>
        <v>0.62163766016893651</v>
      </c>
      <c r="P47">
        <f t="shared" si="2"/>
        <v>2.2099878554646089</v>
      </c>
      <c r="Q47">
        <f t="shared" si="3"/>
        <v>0.61390761304642139</v>
      </c>
      <c r="S47">
        <v>5.5514871135842157E-3</v>
      </c>
      <c r="T47">
        <v>1.836784966680437E-3</v>
      </c>
      <c r="U47">
        <v>5.8354335589816418E-2</v>
      </c>
      <c r="W47">
        <f t="shared" si="0"/>
        <v>0.62166244823817574</v>
      </c>
      <c r="X47">
        <f t="shared" si="4"/>
        <v>1.3076850331666916</v>
      </c>
      <c r="Y47">
        <f t="shared" si="5"/>
        <v>0.61667478125709307</v>
      </c>
      <c r="Z47">
        <f>0.00000776/(60/Test!G47)*100</f>
        <v>1.9245110400000001E-2</v>
      </c>
      <c r="AB47">
        <f t="shared" si="6"/>
        <v>1.5739004115986646</v>
      </c>
    </row>
    <row r="48" spans="1:28">
      <c r="A48" t="s">
        <v>67</v>
      </c>
      <c r="B48" s="40">
        <f>0.1/300*100</f>
        <v>3.333333333333334E-2</v>
      </c>
      <c r="K48">
        <v>0.14325070006253074</v>
      </c>
      <c r="L48">
        <v>1.7201578365320112</v>
      </c>
      <c r="M48">
        <v>0.47837244030951653</v>
      </c>
      <c r="O48">
        <f t="shared" si="1"/>
        <v>0.62402548270756153</v>
      </c>
      <c r="P48">
        <f t="shared" si="2"/>
        <v>1.824234092045889</v>
      </c>
      <c r="Q48">
        <f t="shared" si="3"/>
        <v>0.52805320910650844</v>
      </c>
      <c r="S48">
        <v>2.9722002925467996E-3</v>
      </c>
      <c r="T48">
        <v>1.8043329354670015E-3</v>
      </c>
      <c r="U48">
        <v>5.1026749885364375E-2</v>
      </c>
      <c r="W48">
        <f t="shared" si="0"/>
        <v>0.62403256088363224</v>
      </c>
      <c r="X48">
        <f t="shared" si="4"/>
        <v>1.1493415302367076</v>
      </c>
      <c r="Y48">
        <f t="shared" si="5"/>
        <v>0.53051288471774694</v>
      </c>
      <c r="Z48">
        <f>0.00000776/(60/Test!G48)*100</f>
        <v>1.9196390533333337E-2</v>
      </c>
      <c r="AB48">
        <f t="shared" si="6"/>
        <v>1.4114584699632131</v>
      </c>
    </row>
    <row r="49" spans="1:28">
      <c r="A49" s="38" t="s">
        <v>70</v>
      </c>
      <c r="B49" s="40">
        <v>0.3448</v>
      </c>
      <c r="K49">
        <v>0.15060841276456458</v>
      </c>
      <c r="L49">
        <v>1.240014435654746</v>
      </c>
      <c r="M49">
        <v>0.44518489578694159</v>
      </c>
      <c r="O49">
        <f t="shared" si="1"/>
        <v>0.62575549058355173</v>
      </c>
      <c r="P49">
        <f t="shared" si="2"/>
        <v>1.3807689309338322</v>
      </c>
      <c r="Q49">
        <f t="shared" si="3"/>
        <v>0.49818630193616331</v>
      </c>
      <c r="S49">
        <v>3.1686570283014927E-3</v>
      </c>
      <c r="T49">
        <v>1.953612279048804E-3</v>
      </c>
      <c r="U49">
        <v>5.2707714618857406E-2</v>
      </c>
      <c r="W49">
        <f t="shared" si="0"/>
        <v>0.62576351314440226</v>
      </c>
      <c r="X49">
        <f t="shared" si="4"/>
        <v>0.98267986578685373</v>
      </c>
      <c r="Y49">
        <f t="shared" si="5"/>
        <v>0.50096675999229034</v>
      </c>
      <c r="Z49">
        <f>0.00000776/(60/Test!G49)*100</f>
        <v>1.9170213466666666E-2</v>
      </c>
      <c r="AB49">
        <f t="shared" si="6"/>
        <v>1.268296055622355</v>
      </c>
    </row>
    <row r="50" spans="1:28">
      <c r="A50" s="38" t="s">
        <v>68</v>
      </c>
      <c r="B50" s="40">
        <v>0.3448</v>
      </c>
      <c r="K50">
        <v>0.16083512409647477</v>
      </c>
      <c r="L50">
        <v>0.57820811444084108</v>
      </c>
      <c r="M50">
        <v>0.41580919985862941</v>
      </c>
      <c r="O50">
        <f t="shared" si="1"/>
        <v>0.62829529454161004</v>
      </c>
      <c r="P50">
        <f t="shared" si="2"/>
        <v>0.83857716616017686</v>
      </c>
      <c r="Q50">
        <f t="shared" si="3"/>
        <v>0.47211999606781496</v>
      </c>
      <c r="S50">
        <v>3.1369704580184771E-3</v>
      </c>
      <c r="T50">
        <v>2.6805377782297543E-3</v>
      </c>
      <c r="U50">
        <v>5.0754480949657767E-2</v>
      </c>
      <c r="W50">
        <f t="shared" si="0"/>
        <v>0.62830312567007263</v>
      </c>
      <c r="X50">
        <f t="shared" si="4"/>
        <v>0.81537432694927392</v>
      </c>
      <c r="Y50">
        <f t="shared" si="5"/>
        <v>0.47484029738801947</v>
      </c>
      <c r="Z50">
        <f>0.00000776/(60/Test!G50)*100</f>
        <v>1.9131788533333333E-2</v>
      </c>
      <c r="AB50">
        <f t="shared" si="6"/>
        <v>1.1337722188035795</v>
      </c>
    </row>
    <row r="51" spans="1:28">
      <c r="A51" t="s">
        <v>71</v>
      </c>
      <c r="B51" s="40">
        <v>0.5</v>
      </c>
      <c r="K51">
        <v>0.17190734960107124</v>
      </c>
      <c r="L51">
        <v>0.28193675535128571</v>
      </c>
      <c r="M51">
        <v>0.40098072948164809</v>
      </c>
      <c r="O51">
        <f t="shared" si="1"/>
        <v>0.63122038690687499</v>
      </c>
      <c r="P51">
        <f t="shared" si="2"/>
        <v>0.66960837361700509</v>
      </c>
      <c r="Q51">
        <f t="shared" si="3"/>
        <v>0.45911386977049023</v>
      </c>
      <c r="S51">
        <v>3.3841257062259943E-3</v>
      </c>
      <c r="T51">
        <v>3.2516935275862147E-3</v>
      </c>
      <c r="U51">
        <v>5.1304937710977654E-2</v>
      </c>
      <c r="W51">
        <f t="shared" si="0"/>
        <v>0.63122945840134914</v>
      </c>
      <c r="X51">
        <f t="shared" si="4"/>
        <v>0.77532548576658611</v>
      </c>
      <c r="Y51">
        <f t="shared" si="5"/>
        <v>0.46197158143024547</v>
      </c>
      <c r="Z51">
        <f>0.00000776/(60/Test!G51)*100</f>
        <v>1.9098782666666671E-2</v>
      </c>
      <c r="AB51">
        <f t="shared" si="6"/>
        <v>1.1015274592952116</v>
      </c>
    </row>
    <row r="52" spans="1:28">
      <c r="A52" t="s">
        <v>72</v>
      </c>
      <c r="B52" s="40">
        <v>0.5</v>
      </c>
      <c r="K52">
        <v>0.18508523636101448</v>
      </c>
      <c r="L52">
        <v>0.16763940467445412</v>
      </c>
      <c r="M52">
        <v>0.39477974478380107</v>
      </c>
      <c r="O52">
        <f t="shared" si="1"/>
        <v>0.63493589024311159</v>
      </c>
      <c r="P52">
        <f t="shared" si="2"/>
        <v>0.63007143245794395</v>
      </c>
      <c r="Q52">
        <f t="shared" si="3"/>
        <v>0.45370810758852781</v>
      </c>
      <c r="S52">
        <v>2.8708032676411522E-3</v>
      </c>
      <c r="T52">
        <v>4.7185253384334908E-3</v>
      </c>
      <c r="U52">
        <v>5.3524521425977252E-2</v>
      </c>
      <c r="W52">
        <f t="shared" si="0"/>
        <v>0.63494238024423455</v>
      </c>
      <c r="X52">
        <f t="shared" si="4"/>
        <v>0.76700388450461143</v>
      </c>
      <c r="Y52">
        <f t="shared" si="5"/>
        <v>0.45685437645429539</v>
      </c>
      <c r="Z52">
        <f>0.00000776/(60/Test!G52)*100</f>
        <v>1.9073161733333333E-2</v>
      </c>
      <c r="AB52">
        <f t="shared" si="6"/>
        <v>1.0956853982139794</v>
      </c>
    </row>
    <row r="53" spans="1:28">
      <c r="A53" t="s">
        <v>79</v>
      </c>
      <c r="B53" s="40">
        <v>0.69</v>
      </c>
      <c r="K53">
        <v>0.20375303220035379</v>
      </c>
      <c r="L53">
        <v>0.12676958645327097</v>
      </c>
      <c r="M53">
        <v>0.39252009196108617</v>
      </c>
      <c r="O53">
        <f t="shared" si="1"/>
        <v>0.64062652000275355</v>
      </c>
      <c r="P53">
        <f t="shared" si="2"/>
        <v>0.62044948871727934</v>
      </c>
      <c r="Q53">
        <f t="shared" si="3"/>
        <v>0.45174331494017655</v>
      </c>
      <c r="S53">
        <v>3.2383674829241245E-3</v>
      </c>
      <c r="T53">
        <v>5.7504999310207319E-3</v>
      </c>
      <c r="U53">
        <v>5.0488130903857793E-2</v>
      </c>
      <c r="W53">
        <f t="shared" si="0"/>
        <v>0.64063470492535202</v>
      </c>
      <c r="X53">
        <f t="shared" si="4"/>
        <v>0.76504748357584484</v>
      </c>
      <c r="Y53">
        <f t="shared" si="5"/>
        <v>0.45455590850334859</v>
      </c>
      <c r="Z53">
        <f>0.00000776/(60/Test!G53)*100</f>
        <v>1.9059465333333334E-2</v>
      </c>
      <c r="AB53">
        <f t="shared" si="6"/>
        <v>1.0966744341210033</v>
      </c>
    </row>
    <row r="54" spans="1:28">
      <c r="A54" t="s">
        <v>93</v>
      </c>
      <c r="B54" s="40">
        <v>0.2</v>
      </c>
      <c r="K54">
        <v>0.22052860677549888</v>
      </c>
      <c r="L54">
        <v>0.1165202255631148</v>
      </c>
      <c r="M54">
        <v>0.39191985755097469</v>
      </c>
      <c r="O54">
        <f t="shared" si="1"/>
        <v>0.64615780302209658</v>
      </c>
      <c r="P54">
        <f t="shared" si="2"/>
        <v>0.61843674128020498</v>
      </c>
      <c r="Q54">
        <f t="shared" si="3"/>
        <v>0.45122186864421399</v>
      </c>
      <c r="S54">
        <v>2.9151644660373728E-3</v>
      </c>
      <c r="T54">
        <v>5.043045650567843E-3</v>
      </c>
      <c r="U54">
        <v>4.9558865188511297E-2</v>
      </c>
      <c r="W54">
        <f t="shared" si="0"/>
        <v>0.64616437892397527</v>
      </c>
      <c r="X54">
        <f t="shared" si="4"/>
        <v>0.7646349618704642</v>
      </c>
      <c r="Y54">
        <f t="shared" si="5"/>
        <v>0.45393529920193404</v>
      </c>
      <c r="Z54">
        <f>0.00000776/(60/Test!G54)*100</f>
        <v>1.9060357733333335E-2</v>
      </c>
      <c r="AB54">
        <f t="shared" si="6"/>
        <v>1.0993705392647763</v>
      </c>
    </row>
    <row r="55" spans="1:28">
      <c r="A55" t="s">
        <v>94</v>
      </c>
      <c r="B55" s="40">
        <v>0.1</v>
      </c>
      <c r="K55">
        <v>0.24263225224665386</v>
      </c>
      <c r="L55">
        <v>0.11179008313104179</v>
      </c>
      <c r="M55">
        <v>0.39150118705940817</v>
      </c>
      <c r="O55">
        <f t="shared" si="1"/>
        <v>0.65403168870497697</v>
      </c>
      <c r="P55">
        <f t="shared" si="2"/>
        <v>0.61756300300977007</v>
      </c>
      <c r="Q55">
        <f t="shared" si="3"/>
        <v>0.45085826982426053</v>
      </c>
      <c r="S55">
        <v>2.4905644242449732E-3</v>
      </c>
      <c r="T55">
        <v>4.3161201513868923E-3</v>
      </c>
      <c r="U55">
        <v>5.4045383737763852E-2</v>
      </c>
      <c r="W55">
        <f t="shared" si="0"/>
        <v>0.65403643074482876</v>
      </c>
      <c r="X55">
        <f t="shared" si="4"/>
        <v>0.76445394657144983</v>
      </c>
      <c r="Y55">
        <f t="shared" si="5"/>
        <v>0.45408598632008879</v>
      </c>
      <c r="Z55">
        <f>0.00000776/(60/Test!G55)*100</f>
        <v>1.9051213866666666E-2</v>
      </c>
      <c r="AB55">
        <f t="shared" si="6"/>
        <v>1.1039522276313325</v>
      </c>
    </row>
    <row r="58" spans="1:28">
      <c r="K58">
        <v>0.15675989582362782</v>
      </c>
      <c r="L58">
        <v>2.1306142076025294</v>
      </c>
      <c r="M58">
        <v>0.63815956523006756</v>
      </c>
      <c r="O58">
        <f t="shared" si="1"/>
        <v>0.6272644617213976</v>
      </c>
      <c r="P58">
        <f t="shared" si="2"/>
        <v>2.2154918058159807</v>
      </c>
      <c r="Q58">
        <f t="shared" si="3"/>
        <v>0.67620088043023785</v>
      </c>
      <c r="S58">
        <v>4.6008900050937664E-3</v>
      </c>
      <c r="T58">
        <v>1.9276506540780555E-3</v>
      </c>
      <c r="U58">
        <v>6.9132634109854527E-2</v>
      </c>
      <c r="W58">
        <f t="shared" si="0"/>
        <v>0.62728133491079874</v>
      </c>
      <c r="X58">
        <f t="shared" si="4"/>
        <v>1.3100114095344266</v>
      </c>
      <c r="Y58">
        <f t="shared" si="5"/>
        <v>0.67972564450195327</v>
      </c>
      <c r="Z58">
        <f>0.00000776/(60/Test!G58)*100</f>
        <v>1.7554969466666667E-2</v>
      </c>
      <c r="AB58">
        <f t="shared" si="6"/>
        <v>1.6037290590945905</v>
      </c>
    </row>
    <row r="59" spans="1:28">
      <c r="K59">
        <v>0.16906430234139383</v>
      </c>
      <c r="L59">
        <v>1.801926111832046</v>
      </c>
      <c r="M59">
        <v>0.53660435345234947</v>
      </c>
      <c r="O59">
        <f t="shared" si="1"/>
        <v>0.63045204284400747</v>
      </c>
      <c r="P59">
        <f t="shared" si="2"/>
        <v>1.9015322117971485</v>
      </c>
      <c r="Q59">
        <f t="shared" si="3"/>
        <v>0.58132971035722403</v>
      </c>
      <c r="S59">
        <v>3.5805824419806857E-3</v>
      </c>
      <c r="T59">
        <v>1.9276506540780555E-3</v>
      </c>
      <c r="U59">
        <v>6.2675125221682323E-2</v>
      </c>
      <c r="W59">
        <f t="shared" si="0"/>
        <v>0.63046221052241191</v>
      </c>
      <c r="X59">
        <f t="shared" si="4"/>
        <v>1.1802478959212237</v>
      </c>
      <c r="Y59">
        <f t="shared" si="5"/>
        <v>0.58469855777619939</v>
      </c>
      <c r="Z59">
        <f>0.00000776/(60/Test!G59)*100</f>
        <v>1.7514850266666666E-2</v>
      </c>
      <c r="AB59">
        <f t="shared" si="6"/>
        <v>1.4603584724884204</v>
      </c>
    </row>
    <row r="60" spans="1:28">
      <c r="K60">
        <v>0.17825069950098679</v>
      </c>
      <c r="L60">
        <v>1.3680855448182396</v>
      </c>
      <c r="M60">
        <v>0.49293720502666638</v>
      </c>
      <c r="O60">
        <f t="shared" si="1"/>
        <v>0.63297737074289717</v>
      </c>
      <c r="P60">
        <f t="shared" si="2"/>
        <v>1.496845048072986</v>
      </c>
      <c r="Q60">
        <f t="shared" si="3"/>
        <v>0.54128281711089055</v>
      </c>
      <c r="S60">
        <v>3.7136660371693479E-3</v>
      </c>
      <c r="T60">
        <v>1.9146698415926817E-3</v>
      </c>
      <c r="U60">
        <v>5.8703550094309692E-2</v>
      </c>
      <c r="W60">
        <f t="shared" si="0"/>
        <v>0.6329882646526922</v>
      </c>
      <c r="X60">
        <f t="shared" si="4"/>
        <v>1.0242876218668513</v>
      </c>
      <c r="Y60">
        <f t="shared" si="5"/>
        <v>0.54445678882090998</v>
      </c>
      <c r="Z60">
        <f>0.00000776/(60/Test!G60)*100</f>
        <v>1.7494661333333335E-2</v>
      </c>
      <c r="AB60">
        <f t="shared" si="6"/>
        <v>1.3215818300680522</v>
      </c>
    </row>
    <row r="61" spans="1:28">
      <c r="K61">
        <v>0.1921900586667927</v>
      </c>
      <c r="L61">
        <v>0.77851520629671078</v>
      </c>
      <c r="M61">
        <v>0.45602034303751959</v>
      </c>
      <c r="O61">
        <f t="shared" si="1"/>
        <v>0.63704321568504696</v>
      </c>
      <c r="P61">
        <f t="shared" si="2"/>
        <v>0.98740719383403841</v>
      </c>
      <c r="Q61">
        <f t="shared" si="3"/>
        <v>0.50789226541074339</v>
      </c>
      <c r="S61">
        <v>3.1052838877354623E-3</v>
      </c>
      <c r="T61">
        <v>2.4728447784637684E-3</v>
      </c>
      <c r="U61">
        <v>5.5240999498910294E-2</v>
      </c>
      <c r="W61">
        <f t="shared" si="0"/>
        <v>0.63705078403402715</v>
      </c>
      <c r="X61">
        <f t="shared" si="4"/>
        <v>0.85602251631250537</v>
      </c>
      <c r="Y61">
        <f t="shared" si="5"/>
        <v>0.51088758185113059</v>
      </c>
      <c r="Z61">
        <f>0.00000776/(60/Test!G61)*100</f>
        <v>1.7468587733333336E-2</v>
      </c>
      <c r="AB61">
        <f t="shared" si="6"/>
        <v>1.1831819482731534</v>
      </c>
    </row>
    <row r="62" spans="1:28">
      <c r="K62">
        <v>0.21688371690278829</v>
      </c>
      <c r="L62">
        <v>0.34162225665219176</v>
      </c>
      <c r="M62">
        <v>0.42671563671495744</v>
      </c>
      <c r="O62">
        <f t="shared" si="1"/>
        <v>0.64492293078907403</v>
      </c>
      <c r="P62">
        <f t="shared" si="2"/>
        <v>0.69684489396144389</v>
      </c>
      <c r="Q62">
        <f t="shared" si="3"/>
        <v>0.48175329227422159</v>
      </c>
      <c r="S62">
        <v>2.6680092178298568E-3</v>
      </c>
      <c r="T62">
        <v>2.6415953407736316E-3</v>
      </c>
      <c r="U62">
        <v>5.6105157425283471E-2</v>
      </c>
      <c r="W62">
        <f t="shared" si="0"/>
        <v>0.64492844946610572</v>
      </c>
      <c r="X62">
        <f t="shared" si="4"/>
        <v>0.78130043609988531</v>
      </c>
      <c r="Y62">
        <f t="shared" si="5"/>
        <v>0.48500930228890193</v>
      </c>
      <c r="Z62">
        <f>0.00000776/(60/Test!G62)*100</f>
        <v>1.7440173200000002E-2</v>
      </c>
      <c r="AB62">
        <f t="shared" si="6"/>
        <v>1.1233437850135815</v>
      </c>
    </row>
    <row r="63" spans="1:28">
      <c r="K63">
        <v>0.24280686589962186</v>
      </c>
      <c r="L63">
        <v>0.20047668861848733</v>
      </c>
      <c r="M63">
        <v>0.41378008684801637</v>
      </c>
      <c r="O63">
        <f t="shared" si="1"/>
        <v>0.65409648686412991</v>
      </c>
      <c r="P63">
        <f t="shared" si="2"/>
        <v>0.63959201267638888</v>
      </c>
      <c r="Q63">
        <f t="shared" si="3"/>
        <v>0.47033388169677076</v>
      </c>
      <c r="S63">
        <v>2.9278390941505782E-3</v>
      </c>
      <c r="T63">
        <v>5.9322313058159694E-3</v>
      </c>
      <c r="U63">
        <v>5.0908372087231056E-2</v>
      </c>
      <c r="W63">
        <f t="shared" si="0"/>
        <v>0.65410303956621252</v>
      </c>
      <c r="X63">
        <f t="shared" si="4"/>
        <v>0.76897975844752686</v>
      </c>
      <c r="Y63">
        <f t="shared" si="5"/>
        <v>0.47308098949389621</v>
      </c>
      <c r="Z63">
        <f>0.00000776/(60/Test!G63)*100</f>
        <v>1.7421290533333335E-2</v>
      </c>
      <c r="AB63">
        <f t="shared" si="6"/>
        <v>1.1150290486153918</v>
      </c>
    </row>
    <row r="64" spans="1:28">
      <c r="K64">
        <v>0.26537236439784073</v>
      </c>
      <c r="L64">
        <v>0.15585443633560697</v>
      </c>
      <c r="M64">
        <v>0.40956852952082956</v>
      </c>
      <c r="O64">
        <f t="shared" si="1"/>
        <v>0.66280429372937855</v>
      </c>
      <c r="P64">
        <f t="shared" si="2"/>
        <v>0.62703879092564108</v>
      </c>
      <c r="Q64">
        <f t="shared" si="3"/>
        <v>0.46663302537846019</v>
      </c>
      <c r="S64">
        <v>3.0926092596222565E-3</v>
      </c>
      <c r="T64">
        <v>5.3351139314887592E-3</v>
      </c>
      <c r="U64">
        <v>5.6685208636136707E-2</v>
      </c>
      <c r="W64">
        <f t="shared" si="0"/>
        <v>0.66281150866451699</v>
      </c>
      <c r="X64">
        <f t="shared" si="4"/>
        <v>0.76638636903061308</v>
      </c>
      <c r="Y64">
        <f t="shared" si="5"/>
        <v>0.47006339280141463</v>
      </c>
      <c r="Z64">
        <f>0.00000776/(60/Test!G64)*100</f>
        <v>1.7413685733333337E-2</v>
      </c>
      <c r="AB64">
        <f t="shared" si="6"/>
        <v>1.117107869615489</v>
      </c>
    </row>
    <row r="65" spans="11:28">
      <c r="K65">
        <v>0.28700703428887903</v>
      </c>
      <c r="L65">
        <v>0.13376009919729337</v>
      </c>
      <c r="M65">
        <v>0.40744264579380435</v>
      </c>
      <c r="O65">
        <f t="shared" si="1"/>
        <v>0.67175894317180307</v>
      </c>
      <c r="P65">
        <f t="shared" si="2"/>
        <v>0.62191543166034224</v>
      </c>
      <c r="Q65">
        <f t="shared" si="3"/>
        <v>0.46476823214528717</v>
      </c>
      <c r="S65">
        <v>3.3144152516033608E-3</v>
      </c>
      <c r="T65">
        <v>3.848810901913424E-3</v>
      </c>
      <c r="U65">
        <v>5.505751391180367E-2</v>
      </c>
      <c r="W65">
        <f t="shared" si="0"/>
        <v>0.67176711967746516</v>
      </c>
      <c r="X65">
        <f t="shared" si="4"/>
        <v>0.76533306882923113</v>
      </c>
      <c r="Y65">
        <f t="shared" si="5"/>
        <v>0.46801799051917226</v>
      </c>
      <c r="Z65">
        <f>0.00000776/(60/Test!G65)*100</f>
        <v>1.7410297200000001E-2</v>
      </c>
      <c r="AB65">
        <f t="shared" si="6"/>
        <v>1.1208700759773733</v>
      </c>
    </row>
    <row r="66" spans="11:28">
      <c r="K66">
        <v>0.31354660915679378</v>
      </c>
      <c r="L66">
        <v>0.12050600035728026</v>
      </c>
      <c r="M66">
        <v>0.40605873948433996</v>
      </c>
      <c r="O66">
        <f t="shared" si="1"/>
        <v>0.68351921415108974</v>
      </c>
      <c r="P66">
        <f t="shared" si="2"/>
        <v>0.61920007761797713</v>
      </c>
      <c r="Q66">
        <f t="shared" si="3"/>
        <v>0.4635554982001735</v>
      </c>
      <c r="S66">
        <v>2.8327793833015334E-3</v>
      </c>
      <c r="T66">
        <v>4.8548238695299171E-3</v>
      </c>
      <c r="U66">
        <v>5.351268364616394E-2</v>
      </c>
      <c r="W66">
        <f t="shared" si="0"/>
        <v>0.68352508421619584</v>
      </c>
      <c r="X66">
        <f t="shared" si="4"/>
        <v>0.76478817015512468</v>
      </c>
      <c r="Y66">
        <f t="shared" si="5"/>
        <v>0.46663401850125058</v>
      </c>
      <c r="Z66">
        <f>0.00000776/(60/Test!G66)*100</f>
        <v>1.7405201466666669E-2</v>
      </c>
      <c r="AB66">
        <f t="shared" si="6"/>
        <v>1.127012748030253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9"/>
  <sheetViews>
    <sheetView zoomScale="70" zoomScaleNormal="70" workbookViewId="0">
      <selection activeCell="E50" sqref="E50"/>
    </sheetView>
  </sheetViews>
  <sheetFormatPr baseColWidth="10" defaultRowHeight="15"/>
  <sheetData>
    <row r="1" spans="2:7" ht="15.75" thickBot="1"/>
    <row r="2" spans="2:7" ht="15.75" thickBot="1">
      <c r="B2" s="3"/>
      <c r="C2" s="4"/>
      <c r="D2" s="4"/>
      <c r="E2" s="4"/>
      <c r="F2" s="4"/>
      <c r="G2" s="5"/>
    </row>
    <row r="4" spans="2:7">
      <c r="E4" s="6"/>
    </row>
    <row r="5" spans="2:7">
      <c r="E5" s="6"/>
    </row>
    <row r="6" spans="2:7">
      <c r="E6" s="7"/>
    </row>
    <row r="7" spans="2:7">
      <c r="E7" s="8"/>
    </row>
    <row r="14" spans="2:7">
      <c r="G14" s="14"/>
    </row>
    <row r="18" spans="7:7">
      <c r="G18" s="14"/>
    </row>
    <row r="19" spans="7:7">
      <c r="G19" s="1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Test</vt:lpstr>
      <vt:lpstr>Usikkerhet</vt:lpstr>
      <vt:lpstr>Plot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Lien, Kjell Erik</dc:creator>
  <cp:lastModifiedBy>Lien, Kjell Erik</cp:lastModifiedBy>
  <cp:lastPrinted>2010-05-06T08:36:04Z</cp:lastPrinted>
  <dcterms:created xsi:type="dcterms:W3CDTF">2010-05-05T17:43:23Z</dcterms:created>
  <dcterms:modified xsi:type="dcterms:W3CDTF">2010-05-20T20:22:39Z</dcterms:modified>
</cp:coreProperties>
</file>