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340" yWindow="-75" windowWidth="20445" windowHeight="12270"/>
  </bookViews>
  <sheets>
    <sheet name="Test" sheetId="1" r:id="rId1"/>
    <sheet name="Usikkerhet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U67" i="1"/>
  <c r="U12"/>
  <c r="U56"/>
  <c r="U45"/>
  <c r="U34"/>
  <c r="U23"/>
  <c r="W55" i="2"/>
  <c r="X55"/>
  <c r="Y55"/>
  <c r="Y42"/>
  <c r="Y43"/>
  <c r="Y44"/>
  <c r="X42"/>
  <c r="X43"/>
  <c r="X44"/>
  <c r="W42"/>
  <c r="W43"/>
  <c r="W44"/>
  <c r="Y32"/>
  <c r="Y33"/>
  <c r="X32"/>
  <c r="X33"/>
  <c r="W32"/>
  <c r="W33"/>
  <c r="X22"/>
  <c r="W22"/>
  <c r="AB65"/>
  <c r="AB66"/>
  <c r="Z65"/>
  <c r="Z66"/>
  <c r="Y65"/>
  <c r="Y66"/>
  <c r="X65"/>
  <c r="X66"/>
  <c r="W65"/>
  <c r="W66"/>
  <c r="P66"/>
  <c r="O64"/>
  <c r="O65"/>
  <c r="O66"/>
  <c r="P65"/>
  <c r="Q65"/>
  <c r="Q66"/>
  <c r="O47"/>
  <c r="P47"/>
  <c r="X47" s="1"/>
  <c r="AB47" s="1"/>
  <c r="Q47"/>
  <c r="W47"/>
  <c r="Y47"/>
  <c r="Z47"/>
  <c r="AB32"/>
  <c r="AB42"/>
  <c r="AB44"/>
  <c r="AB55"/>
  <c r="O22"/>
  <c r="P22"/>
  <c r="Q22"/>
  <c r="Y22" s="1"/>
  <c r="AB22" s="1"/>
  <c r="Z22"/>
  <c r="Z4"/>
  <c r="Z5"/>
  <c r="Z6"/>
  <c r="Z7"/>
  <c r="Z8"/>
  <c r="Z9"/>
  <c r="Z10"/>
  <c r="Z11"/>
  <c r="Z14"/>
  <c r="Z15"/>
  <c r="Z16"/>
  <c r="Z17"/>
  <c r="Z18"/>
  <c r="Z19"/>
  <c r="Z20"/>
  <c r="Z21"/>
  <c r="Z26"/>
  <c r="Z27"/>
  <c r="Z28"/>
  <c r="Z29"/>
  <c r="Z30"/>
  <c r="Z31"/>
  <c r="Z32"/>
  <c r="Z33"/>
  <c r="Z36"/>
  <c r="Z37"/>
  <c r="Z38"/>
  <c r="Z39"/>
  <c r="Z40"/>
  <c r="Z41"/>
  <c r="Z42"/>
  <c r="Z43"/>
  <c r="Z44"/>
  <c r="Z48"/>
  <c r="Z49"/>
  <c r="Z50"/>
  <c r="Z51"/>
  <c r="Z52"/>
  <c r="Z53"/>
  <c r="Z54"/>
  <c r="Z55"/>
  <c r="Z58"/>
  <c r="Z59"/>
  <c r="Z60"/>
  <c r="Z61"/>
  <c r="Z62"/>
  <c r="Z63"/>
  <c r="Z64"/>
  <c r="Z3"/>
  <c r="J67" i="1"/>
  <c r="I67"/>
  <c r="J66"/>
  <c r="I66"/>
  <c r="J65"/>
  <c r="I65"/>
  <c r="J64"/>
  <c r="I64"/>
  <c r="J63"/>
  <c r="I63"/>
  <c r="J62"/>
  <c r="I62"/>
  <c r="J61"/>
  <c r="I61"/>
  <c r="J60"/>
  <c r="I60"/>
  <c r="J59"/>
  <c r="I59"/>
  <c r="J58"/>
  <c r="I58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5"/>
  <c r="I45"/>
  <c r="J44"/>
  <c r="I44"/>
  <c r="J43"/>
  <c r="I43"/>
  <c r="J42"/>
  <c r="I42"/>
  <c r="J41"/>
  <c r="I41"/>
  <c r="J40"/>
  <c r="I40"/>
  <c r="J39"/>
  <c r="I39"/>
  <c r="J38"/>
  <c r="I38"/>
  <c r="J37"/>
  <c r="I37"/>
  <c r="J36"/>
  <c r="I36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2"/>
  <c r="I12"/>
  <c r="J11"/>
  <c r="I11"/>
  <c r="J10"/>
  <c r="I10"/>
  <c r="J9"/>
  <c r="I9"/>
  <c r="J8"/>
  <c r="I8"/>
  <c r="J7"/>
  <c r="I7"/>
  <c r="J6"/>
  <c r="I6"/>
  <c r="J5"/>
  <c r="I5"/>
  <c r="J4"/>
  <c r="I4"/>
  <c r="J3"/>
  <c r="I3"/>
  <c r="Q4" i="2" l="1"/>
  <c r="Q5"/>
  <c r="Q6"/>
  <c r="Q7"/>
  <c r="Q8"/>
  <c r="Q9"/>
  <c r="Q10"/>
  <c r="Q11"/>
  <c r="Q14"/>
  <c r="Q15"/>
  <c r="Q16"/>
  <c r="Q17"/>
  <c r="Q18"/>
  <c r="Q19"/>
  <c r="Q20"/>
  <c r="Q21"/>
  <c r="Q26"/>
  <c r="Q27"/>
  <c r="Q28"/>
  <c r="Q29"/>
  <c r="Q30"/>
  <c r="Q31"/>
  <c r="Q32"/>
  <c r="Q33"/>
  <c r="Q36"/>
  <c r="Q37"/>
  <c r="Q38"/>
  <c r="Q39"/>
  <c r="Q40"/>
  <c r="Q41"/>
  <c r="Q42"/>
  <c r="Q43"/>
  <c r="Q44"/>
  <c r="Q48"/>
  <c r="Q49"/>
  <c r="Q50"/>
  <c r="Q51"/>
  <c r="Y51" s="1"/>
  <c r="Q52"/>
  <c r="Q53"/>
  <c r="Y53" s="1"/>
  <c r="Q54"/>
  <c r="Y54" s="1"/>
  <c r="Q55"/>
  <c r="Q58"/>
  <c r="Y58" s="1"/>
  <c r="Q59"/>
  <c r="Q60"/>
  <c r="Q61"/>
  <c r="Y61" s="1"/>
  <c r="Q62"/>
  <c r="Q63"/>
  <c r="Y63" s="1"/>
  <c r="Q64"/>
  <c r="P4"/>
  <c r="P5"/>
  <c r="P6"/>
  <c r="P7"/>
  <c r="P8"/>
  <c r="P9"/>
  <c r="P10"/>
  <c r="P11"/>
  <c r="P14"/>
  <c r="P15"/>
  <c r="P16"/>
  <c r="P17"/>
  <c r="P18"/>
  <c r="P19"/>
  <c r="P20"/>
  <c r="P21"/>
  <c r="P26"/>
  <c r="P27"/>
  <c r="P28"/>
  <c r="P29"/>
  <c r="P30"/>
  <c r="P31"/>
  <c r="P32"/>
  <c r="P33"/>
  <c r="P36"/>
  <c r="P37"/>
  <c r="P38"/>
  <c r="P39"/>
  <c r="P40"/>
  <c r="P41"/>
  <c r="P42"/>
  <c r="P43"/>
  <c r="P44"/>
  <c r="P48"/>
  <c r="P49"/>
  <c r="P50"/>
  <c r="P51"/>
  <c r="P52"/>
  <c r="P53"/>
  <c r="P54"/>
  <c r="P55"/>
  <c r="P58"/>
  <c r="P59"/>
  <c r="P60"/>
  <c r="P61"/>
  <c r="P62"/>
  <c r="P63"/>
  <c r="P64"/>
  <c r="O4"/>
  <c r="O5"/>
  <c r="O6"/>
  <c r="O7"/>
  <c r="O8"/>
  <c r="O9"/>
  <c r="O10"/>
  <c r="O11"/>
  <c r="O14"/>
  <c r="O15"/>
  <c r="O16"/>
  <c r="O17"/>
  <c r="O18"/>
  <c r="O19"/>
  <c r="O20"/>
  <c r="O21"/>
  <c r="O26"/>
  <c r="O27"/>
  <c r="O28"/>
  <c r="O29"/>
  <c r="O30"/>
  <c r="O31"/>
  <c r="O32"/>
  <c r="O33"/>
  <c r="O36"/>
  <c r="O37"/>
  <c r="O38"/>
  <c r="O39"/>
  <c r="O40"/>
  <c r="O41"/>
  <c r="O42"/>
  <c r="O43"/>
  <c r="O44"/>
  <c r="O48"/>
  <c r="O49"/>
  <c r="O50"/>
  <c r="O51"/>
  <c r="O52"/>
  <c r="W52" s="1"/>
  <c r="O53"/>
  <c r="O54"/>
  <c r="W54" s="1"/>
  <c r="O55"/>
  <c r="O58"/>
  <c r="O59"/>
  <c r="O60"/>
  <c r="W60" s="1"/>
  <c r="O61"/>
  <c r="O62"/>
  <c r="W62" s="1"/>
  <c r="O63"/>
  <c r="W64"/>
  <c r="Q3"/>
  <c r="P3"/>
  <c r="X3" s="1"/>
  <c r="O3"/>
  <c r="W58"/>
  <c r="Y64"/>
  <c r="W63"/>
  <c r="Y62"/>
  <c r="W61"/>
  <c r="Y60"/>
  <c r="Y59"/>
  <c r="W59"/>
  <c r="W53"/>
  <c r="Y52"/>
  <c r="W51"/>
  <c r="Y50"/>
  <c r="W50"/>
  <c r="Y49"/>
  <c r="W49"/>
  <c r="Y48"/>
  <c r="W48"/>
  <c r="B48"/>
  <c r="B47"/>
  <c r="B46"/>
  <c r="Y41"/>
  <c r="W41"/>
  <c r="Y40"/>
  <c r="W40"/>
  <c r="Y39"/>
  <c r="W39"/>
  <c r="Y38"/>
  <c r="W38"/>
  <c r="A38"/>
  <c r="Y37"/>
  <c r="W37"/>
  <c r="B37"/>
  <c r="Y36"/>
  <c r="W36"/>
  <c r="B36"/>
  <c r="B35"/>
  <c r="D36" s="1"/>
  <c r="D34"/>
  <c r="B34"/>
  <c r="C33"/>
  <c r="X31"/>
  <c r="Y31"/>
  <c r="W31"/>
  <c r="B31"/>
  <c r="Y30"/>
  <c r="W30"/>
  <c r="C30"/>
  <c r="B30"/>
  <c r="Y29"/>
  <c r="W29"/>
  <c r="B29"/>
  <c r="B32" s="1"/>
  <c r="X28"/>
  <c r="Y28"/>
  <c r="W28"/>
  <c r="B28"/>
  <c r="C28" s="1"/>
  <c r="X27"/>
  <c r="Y27"/>
  <c r="W27"/>
  <c r="Y26"/>
  <c r="W26"/>
  <c r="Y21"/>
  <c r="W21"/>
  <c r="X20"/>
  <c r="Y20"/>
  <c r="W20"/>
  <c r="Y19"/>
  <c r="W19"/>
  <c r="X18"/>
  <c r="Y18"/>
  <c r="W18"/>
  <c r="Y17"/>
  <c r="W17"/>
  <c r="X16"/>
  <c r="Y16"/>
  <c r="W16"/>
  <c r="X15"/>
  <c r="Y15"/>
  <c r="W15"/>
  <c r="X14"/>
  <c r="Y14"/>
  <c r="W14"/>
  <c r="E13"/>
  <c r="X64" s="1"/>
  <c r="Y11"/>
  <c r="W11"/>
  <c r="X11"/>
  <c r="Y10"/>
  <c r="W10"/>
  <c r="X10"/>
  <c r="Y9"/>
  <c r="W9"/>
  <c r="X9"/>
  <c r="Y8"/>
  <c r="W8"/>
  <c r="X8"/>
  <c r="X7"/>
  <c r="Y7"/>
  <c r="W7"/>
  <c r="Y6"/>
  <c r="W6"/>
  <c r="X6"/>
  <c r="E6"/>
  <c r="E7" s="1"/>
  <c r="X5"/>
  <c r="Y5"/>
  <c r="W5"/>
  <c r="E5"/>
  <c r="Y4"/>
  <c r="W4"/>
  <c r="X4"/>
  <c r="E4"/>
  <c r="Y3"/>
  <c r="W3"/>
  <c r="AB5" l="1"/>
  <c r="AB15"/>
  <c r="AB18"/>
  <c r="AB27"/>
  <c r="AB28"/>
  <c r="AB11"/>
  <c r="AB3"/>
  <c r="AB4"/>
  <c r="AB6"/>
  <c r="AB7"/>
  <c r="AB8"/>
  <c r="AB10"/>
  <c r="AB14"/>
  <c r="AB16"/>
  <c r="AB20"/>
  <c r="AB31"/>
  <c r="AB64"/>
  <c r="AB9"/>
  <c r="D31"/>
  <c r="E23"/>
  <c r="E17" s="1"/>
  <c r="D29"/>
  <c r="E8"/>
  <c r="E19" s="1"/>
  <c r="X17"/>
  <c r="AB17" s="1"/>
  <c r="E18"/>
  <c r="B38" s="1"/>
  <c r="C37" s="1"/>
  <c r="X19"/>
  <c r="AB19" s="1"/>
  <c r="X21"/>
  <c r="AB21" s="1"/>
  <c r="X26"/>
  <c r="AB26" s="1"/>
  <c r="X29"/>
  <c r="AB29" s="1"/>
  <c r="X30"/>
  <c r="AB30" s="1"/>
  <c r="AB33"/>
  <c r="C35"/>
  <c r="X36"/>
  <c r="AB36" s="1"/>
  <c r="X37"/>
  <c r="AB37" s="1"/>
  <c r="X38"/>
  <c r="AB38" s="1"/>
  <c r="X39"/>
  <c r="AB39" s="1"/>
  <c r="X40"/>
  <c r="AB40" s="1"/>
  <c r="AB43"/>
  <c r="X48"/>
  <c r="AB48" s="1"/>
  <c r="X49"/>
  <c r="AB49" s="1"/>
  <c r="X50"/>
  <c r="AB50" s="1"/>
  <c r="X51"/>
  <c r="AB51" s="1"/>
  <c r="X52"/>
  <c r="AB52" s="1"/>
  <c r="X53"/>
  <c r="AB53" s="1"/>
  <c r="X54"/>
  <c r="AB54" s="1"/>
  <c r="X41"/>
  <c r="AB41" s="1"/>
  <c r="X58"/>
  <c r="AB58" s="1"/>
  <c r="X59"/>
  <c r="AB59" s="1"/>
  <c r="X60"/>
  <c r="AB60" s="1"/>
  <c r="X61"/>
  <c r="AB61" s="1"/>
  <c r="X62"/>
  <c r="AB62" s="1"/>
  <c r="X63"/>
  <c r="AB63" s="1"/>
  <c r="B27" l="1"/>
  <c r="B26" s="1"/>
  <c r="E20"/>
  <c r="E21" s="1"/>
  <c r="E22" s="1"/>
  <c r="D38"/>
  <c r="D27" l="1"/>
  <c r="C26"/>
  <c r="D41" l="1"/>
  <c r="E27"/>
  <c r="E34" l="1"/>
  <c r="E36"/>
  <c r="E29"/>
  <c r="E31"/>
  <c r="E38"/>
</calcChain>
</file>

<file path=xl/sharedStrings.xml><?xml version="1.0" encoding="utf-8"?>
<sst xmlns="http://schemas.openxmlformats.org/spreadsheetml/2006/main" count="130" uniqueCount="98">
  <si>
    <t>Dens [kg/m3]</t>
  </si>
  <si>
    <t>dP [Pa]</t>
  </si>
  <si>
    <t>Q_blende [m3/s]</t>
  </si>
  <si>
    <t>Moment [Nm]</t>
  </si>
  <si>
    <t>Turtall [rpm]</t>
  </si>
  <si>
    <t>Eff</t>
  </si>
  <si>
    <t>C</t>
  </si>
  <si>
    <t>dC [%]</t>
  </si>
  <si>
    <t>Frekvens</t>
  </si>
  <si>
    <t>Åpning Ventil</t>
  </si>
  <si>
    <t>Q_aff</t>
  </si>
  <si>
    <t>P_aff</t>
  </si>
  <si>
    <t>Patm [Pa]</t>
  </si>
  <si>
    <t>dP_Q [Pa]</t>
  </si>
  <si>
    <t>Variabel feil fra kalibrering</t>
  </si>
  <si>
    <t>Total feil fra kalibrering</t>
  </si>
  <si>
    <t>Relativ feil fra test</t>
  </si>
  <si>
    <t>Total feil i variabler</t>
  </si>
  <si>
    <t>Feil i virkn. grad</t>
  </si>
  <si>
    <t>Basis</t>
  </si>
  <si>
    <t>NS-EN ISO 5167-1</t>
  </si>
  <si>
    <t>og</t>
  </si>
  <si>
    <t>NS-EN ISO 5167-2</t>
  </si>
  <si>
    <t>f_dp_a+b</t>
  </si>
  <si>
    <t>f_dpQ_a+b</t>
  </si>
  <si>
    <t>f_t_a+b</t>
  </si>
  <si>
    <t>f_dp_kal</t>
  </si>
  <si>
    <t>f_dpQ_kal</t>
  </si>
  <si>
    <t>f_t_kal</t>
  </si>
  <si>
    <t>f_dP_l</t>
  </si>
  <si>
    <t>f_dPQ_l</t>
  </si>
  <si>
    <t>f_t_l</t>
  </si>
  <si>
    <t>f_dP</t>
  </si>
  <si>
    <t>f_dpQ</t>
  </si>
  <si>
    <t>f_t</t>
  </si>
  <si>
    <t>f_w</t>
  </si>
  <si>
    <t>f_eta</t>
  </si>
  <si>
    <t>Antatt luftmengde (for overslag av Re-tall)</t>
  </si>
  <si>
    <t>m3/s</t>
  </si>
  <si>
    <t>Hastighet i rør</t>
  </si>
  <si>
    <t>m/s</t>
  </si>
  <si>
    <t>Hastighet i blende</t>
  </si>
  <si>
    <t>Dynamisk viskositet for luft</t>
  </si>
  <si>
    <t>Ns/m2</t>
  </si>
  <si>
    <t>Kinematisk viskositet for luft</t>
  </si>
  <si>
    <t>m2/s</t>
  </si>
  <si>
    <t>Reynoldstall</t>
  </si>
  <si>
    <t>Blendediameter</t>
  </si>
  <si>
    <t>d</t>
  </si>
  <si>
    <t>m</t>
  </si>
  <si>
    <t>delta p</t>
  </si>
  <si>
    <t>Pa</t>
  </si>
  <si>
    <t>rho</t>
  </si>
  <si>
    <t>kg/m3</t>
  </si>
  <si>
    <t>Rørdiameter</t>
  </si>
  <si>
    <t>D</t>
  </si>
  <si>
    <t>Beta</t>
  </si>
  <si>
    <t>l1</t>
  </si>
  <si>
    <t>l2</t>
  </si>
  <si>
    <t>p1</t>
  </si>
  <si>
    <t>p2</t>
  </si>
  <si>
    <t>epsilon</t>
  </si>
  <si>
    <t>Discharge coeffisient</t>
  </si>
  <si>
    <t>Volumstrøm</t>
  </si>
  <si>
    <t>kg/s</t>
  </si>
  <si>
    <t>m3/h</t>
  </si>
  <si>
    <t>Trykktap (statisk trykkdifferanse rørvegg før og etter blende)</t>
  </si>
  <si>
    <t>Beregning av målefeil</t>
  </si>
  <si>
    <t>dC</t>
  </si>
  <si>
    <t>dD</t>
  </si>
  <si>
    <t>dd</t>
  </si>
  <si>
    <t>beta</t>
  </si>
  <si>
    <t>d(delta)p</t>
  </si>
  <si>
    <t>(delta)p</t>
  </si>
  <si>
    <t>drho</t>
  </si>
  <si>
    <t>depsilon</t>
  </si>
  <si>
    <t>Målefeil for volumstrøm fra blende</t>
  </si>
  <si>
    <t>Konstante feil</t>
  </si>
  <si>
    <t>f_Ttemp</t>
  </si>
  <si>
    <t>f_Patm</t>
  </si>
  <si>
    <t>f_rho</t>
  </si>
  <si>
    <t>f_d</t>
  </si>
  <si>
    <t>f_D</t>
  </si>
  <si>
    <t>f_dP_a+b</t>
  </si>
  <si>
    <t>f_dPQ_a+b</t>
  </si>
  <si>
    <t>f_dP_f</t>
  </si>
  <si>
    <t>f_dPQ_f</t>
  </si>
  <si>
    <t>f_C</t>
  </si>
  <si>
    <t>f_s</t>
  </si>
  <si>
    <t>f_lodd</t>
  </si>
  <si>
    <t>T [K]</t>
  </si>
  <si>
    <t>Std_dP</t>
  </si>
  <si>
    <t>Std_dP_Q</t>
  </si>
  <si>
    <t>Std_mom</t>
  </si>
  <si>
    <t>rør av</t>
  </si>
  <si>
    <t>nytt punkt</t>
  </si>
  <si>
    <t>verifisernig</t>
  </si>
  <si>
    <t>Avvik [%]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</si>
</sst>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0.0000"/>
    <numFmt numFmtId="165" formatCode="0.0"/>
    <numFmt numFmtId="166" formatCode="_(* #,##0.000_);_(* \(#,##0.000\);_(* &quot;-&quot;??_);_(@_)"/>
    <numFmt numFmtId="167" formatCode="_(* #,##0.0_);_(* \(#,##0.0\);_(* &quot;-&quot;??_);_(@_)"/>
    <numFmt numFmtId="168" formatCode="0.0000\ %"/>
  </numFmts>
  <fonts count="7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1" fillId="2" borderId="0" xfId="1"/>
    <xf numFmtId="164" fontId="0" fillId="0" borderId="0" xfId="0" applyNumberForma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Fill="1" applyBorder="1"/>
    <xf numFmtId="165" fontId="3" fillId="0" borderId="0" xfId="0" applyNumberFormat="1" applyFont="1"/>
    <xf numFmtId="11" fontId="4" fillId="0" borderId="0" xfId="2" applyNumberFormat="1" applyFont="1"/>
    <xf numFmtId="11" fontId="3" fillId="0" borderId="0" xfId="2" applyNumberFormat="1" applyFont="1"/>
    <xf numFmtId="0" fontId="0" fillId="3" borderId="0" xfId="0" applyFill="1"/>
    <xf numFmtId="0" fontId="0" fillId="4" borderId="0" xfId="0" applyFill="1"/>
    <xf numFmtId="0" fontId="3" fillId="0" borderId="0" xfId="0" applyFont="1"/>
    <xf numFmtId="0" fontId="0" fillId="0" borderId="0" xfId="0" applyBorder="1"/>
    <xf numFmtId="0" fontId="3" fillId="0" borderId="0" xfId="0" applyFont="1" applyBorder="1"/>
    <xf numFmtId="1" fontId="3" fillId="0" borderId="0" xfId="0" applyNumberFormat="1" applyFont="1" applyBorder="1"/>
    <xf numFmtId="0" fontId="0" fillId="0" borderId="0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3" fillId="0" borderId="9" xfId="0" applyNumberFormat="1" applyFont="1" applyBorder="1"/>
    <xf numFmtId="0" fontId="0" fillId="0" borderId="10" xfId="0" applyBorder="1"/>
    <xf numFmtId="164" fontId="3" fillId="0" borderId="0" xfId="0" applyNumberFormat="1" applyFont="1"/>
    <xf numFmtId="166" fontId="3" fillId="0" borderId="0" xfId="2" applyNumberFormat="1" applyFont="1"/>
    <xf numFmtId="167" fontId="3" fillId="4" borderId="0" xfId="2" applyNumberFormat="1" applyFont="1" applyFill="1"/>
    <xf numFmtId="1" fontId="3" fillId="0" borderId="0" xfId="0" applyNumberFormat="1" applyFont="1"/>
    <xf numFmtId="0" fontId="3" fillId="0" borderId="3" xfId="0" applyFont="1" applyBorder="1"/>
    <xf numFmtId="10" fontId="0" fillId="0" borderId="0" xfId="3" applyNumberFormat="1" applyFont="1" applyBorder="1"/>
    <xf numFmtId="164" fontId="0" fillId="0" borderId="0" xfId="0" applyNumberFormat="1" applyBorder="1"/>
    <xf numFmtId="10" fontId="0" fillId="0" borderId="7" xfId="3" applyNumberFormat="1" applyFont="1" applyBorder="1"/>
    <xf numFmtId="0" fontId="3" fillId="0" borderId="8" xfId="0" applyFont="1" applyBorder="1"/>
    <xf numFmtId="168" fontId="5" fillId="0" borderId="9" xfId="3" applyNumberFormat="1" applyFont="1" applyBorder="1"/>
    <xf numFmtId="10" fontId="0" fillId="0" borderId="10" xfId="3" applyNumberFormat="1" applyFont="1" applyBorder="1"/>
    <xf numFmtId="0" fontId="6" fillId="0" borderId="0" xfId="0" applyFont="1"/>
  </cellXfs>
  <cellStyles count="4">
    <cellStyle name="God" xfId="1" builtinId="26"/>
    <cellStyle name="Normal" xfId="0" builtinId="0"/>
    <cellStyle name="Prosent" xfId="3" builtinId="5"/>
    <cellStyle name="Tusenskille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68"/>
  <sheetViews>
    <sheetView tabSelected="1" topLeftCell="A22" zoomScale="70" zoomScaleNormal="70" workbookViewId="0">
      <selection activeCell="U68" sqref="U68"/>
    </sheetView>
  </sheetViews>
  <sheetFormatPr baseColWidth="10" defaultRowHeight="15"/>
  <cols>
    <col min="2" max="2" width="14.140625" bestFit="1" customWidth="1"/>
    <col min="7" max="7" width="12.7109375" customWidth="1"/>
  </cols>
  <sheetData>
    <row r="2" spans="1:21">
      <c r="A2" t="s">
        <v>90</v>
      </c>
      <c r="B2" t="s">
        <v>12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10</v>
      </c>
      <c r="J2" t="s">
        <v>11</v>
      </c>
      <c r="K2" t="s">
        <v>6</v>
      </c>
      <c r="L2" t="s">
        <v>7</v>
      </c>
      <c r="M2" t="s">
        <v>8</v>
      </c>
      <c r="N2" t="s">
        <v>13</v>
      </c>
      <c r="O2" t="s">
        <v>91</v>
      </c>
      <c r="P2" t="s">
        <v>92</v>
      </c>
      <c r="Q2" t="s">
        <v>93</v>
      </c>
      <c r="R2" t="s">
        <v>9</v>
      </c>
    </row>
    <row r="3" spans="1:21">
      <c r="A3">
        <v>295.64999999999998</v>
      </c>
      <c r="B3">
        <v>101580</v>
      </c>
      <c r="C3">
        <v>1.1969399999999999</v>
      </c>
      <c r="D3">
        <v>511.26420999999999</v>
      </c>
      <c r="E3">
        <v>3.5580000000000001E-2</v>
      </c>
      <c r="F3">
        <v>0.87648000000000004</v>
      </c>
      <c r="G3">
        <v>2070.2146299999999</v>
      </c>
      <c r="H3">
        <v>9.5729999999999996E-2</v>
      </c>
      <c r="I3" s="2">
        <f>E3*2000/G3</f>
        <v>3.4373247569987463E-2</v>
      </c>
      <c r="J3" s="2">
        <f>D3*(2000/G3)^2</f>
        <v>477.17165358847882</v>
      </c>
      <c r="K3">
        <v>0.62239999999999995</v>
      </c>
      <c r="L3">
        <v>0</v>
      </c>
      <c r="M3">
        <v>75</v>
      </c>
      <c r="N3">
        <v>1.0934999999999999</v>
      </c>
      <c r="O3">
        <v>5.96E-3</v>
      </c>
      <c r="P3">
        <v>2.8400000000000001E-3</v>
      </c>
      <c r="Q3">
        <v>0.18448000000000001</v>
      </c>
      <c r="R3">
        <v>90</v>
      </c>
    </row>
    <row r="4" spans="1:21">
      <c r="A4">
        <v>295.64999999999998</v>
      </c>
      <c r="B4">
        <v>101580</v>
      </c>
      <c r="C4">
        <v>1.1969399999999999</v>
      </c>
      <c r="D4">
        <v>516.81935999999996</v>
      </c>
      <c r="E4">
        <v>9.7239999999999993E-2</v>
      </c>
      <c r="F4">
        <v>1.11111</v>
      </c>
      <c r="G4">
        <v>2063.5913799999998</v>
      </c>
      <c r="H4">
        <v>0.20930000000000001</v>
      </c>
      <c r="I4" s="2">
        <f t="shared" ref="I4:I12" si="0">E4*2000/G4</f>
        <v>9.4243464033078095E-2</v>
      </c>
      <c r="J4" s="2">
        <f t="shared" ref="J4:J12" si="1">D4*(2000/G4)^2</f>
        <v>485.45765655047245</v>
      </c>
      <c r="K4">
        <v>0.62029999999999996</v>
      </c>
      <c r="L4">
        <v>0</v>
      </c>
      <c r="M4">
        <v>75</v>
      </c>
      <c r="N4">
        <v>8.2227300000000003</v>
      </c>
      <c r="O4">
        <v>6.11E-3</v>
      </c>
      <c r="P4">
        <v>2.8900000000000002E-3</v>
      </c>
      <c r="Q4">
        <v>0.19624</v>
      </c>
      <c r="R4">
        <v>60</v>
      </c>
    </row>
    <row r="5" spans="1:21">
      <c r="A5">
        <v>295.64999999999998</v>
      </c>
      <c r="B5">
        <v>101580</v>
      </c>
      <c r="C5">
        <v>1.1969399999999999</v>
      </c>
      <c r="D5">
        <v>523.35905000000002</v>
      </c>
      <c r="E5">
        <v>0.18997</v>
      </c>
      <c r="F5">
        <v>1.37246</v>
      </c>
      <c r="G5">
        <v>2055.67778</v>
      </c>
      <c r="H5">
        <v>0.33650999999999998</v>
      </c>
      <c r="I5" s="2">
        <f t="shared" si="0"/>
        <v>0.18482468589994683</v>
      </c>
      <c r="J5" s="2">
        <f t="shared" si="1"/>
        <v>495.39275017978099</v>
      </c>
      <c r="K5">
        <v>0.61329999999999996</v>
      </c>
      <c r="L5">
        <v>0</v>
      </c>
      <c r="M5">
        <v>75</v>
      </c>
      <c r="N5">
        <v>32.103529999999999</v>
      </c>
      <c r="O5">
        <v>4.6899999999999997E-3</v>
      </c>
      <c r="P5">
        <v>3.3E-3</v>
      </c>
      <c r="Q5">
        <v>0.22051999999999999</v>
      </c>
      <c r="R5">
        <v>50</v>
      </c>
    </row>
    <row r="6" spans="1:21">
      <c r="A6">
        <v>295.64999999999998</v>
      </c>
      <c r="B6">
        <v>101580</v>
      </c>
      <c r="C6">
        <v>1.1969399999999999</v>
      </c>
      <c r="D6">
        <v>531.17585999999994</v>
      </c>
      <c r="E6">
        <v>0.25198999999999999</v>
      </c>
      <c r="F6">
        <v>1.5378099999999999</v>
      </c>
      <c r="G6">
        <v>2050.3159999999998</v>
      </c>
      <c r="H6">
        <v>0.40538000000000002</v>
      </c>
      <c r="I6" s="2">
        <f t="shared" si="0"/>
        <v>0.24580601234151225</v>
      </c>
      <c r="J6" s="2">
        <f t="shared" si="1"/>
        <v>505.4249996194585</v>
      </c>
      <c r="K6">
        <v>0.61080000000000001</v>
      </c>
      <c r="L6">
        <v>0</v>
      </c>
      <c r="M6">
        <v>75</v>
      </c>
      <c r="N6">
        <v>56.950530000000001</v>
      </c>
      <c r="O6">
        <v>4.6800000000000001E-3</v>
      </c>
      <c r="P6">
        <v>3.3800000000000002E-3</v>
      </c>
      <c r="Q6">
        <v>0.21729999999999999</v>
      </c>
      <c r="R6">
        <v>40</v>
      </c>
    </row>
    <row r="7" spans="1:21">
      <c r="A7">
        <v>295.64999999999998</v>
      </c>
      <c r="B7">
        <v>101580</v>
      </c>
      <c r="C7">
        <v>1.1969399999999999</v>
      </c>
      <c r="D7">
        <v>511.52850999999998</v>
      </c>
      <c r="E7">
        <v>0.39313999999999999</v>
      </c>
      <c r="F7">
        <v>1.79372</v>
      </c>
      <c r="G7">
        <v>2041.8838599999999</v>
      </c>
      <c r="H7">
        <v>0.52432999999999996</v>
      </c>
      <c r="I7" s="2">
        <f t="shared" si="0"/>
        <v>0.38507577017627242</v>
      </c>
      <c r="J7" s="2">
        <f t="shared" si="1"/>
        <v>490.75842369858782</v>
      </c>
      <c r="K7">
        <v>0.60840000000000005</v>
      </c>
      <c r="L7">
        <v>0</v>
      </c>
      <c r="M7">
        <v>75</v>
      </c>
      <c r="N7">
        <v>139.72313</v>
      </c>
      <c r="O7">
        <v>5.3200000000000001E-3</v>
      </c>
      <c r="P7">
        <v>8.0400000000000003E-3</v>
      </c>
      <c r="Q7">
        <v>0.24368000000000001</v>
      </c>
      <c r="R7">
        <v>30</v>
      </c>
    </row>
    <row r="8" spans="1:21">
      <c r="A8">
        <v>295.64999999999998</v>
      </c>
      <c r="B8">
        <v>101580</v>
      </c>
      <c r="C8">
        <v>1.1969399999999999</v>
      </c>
      <c r="D8">
        <v>483.15776</v>
      </c>
      <c r="E8">
        <v>0.45795999999999998</v>
      </c>
      <c r="F8">
        <v>1.8521000000000001</v>
      </c>
      <c r="G8">
        <v>2039.9834499999999</v>
      </c>
      <c r="H8">
        <v>0.55923999999999996</v>
      </c>
      <c r="I8" s="2">
        <f t="shared" si="0"/>
        <v>0.44898403464988895</v>
      </c>
      <c r="J8" s="2">
        <f t="shared" si="1"/>
        <v>464.40369047183634</v>
      </c>
      <c r="K8">
        <v>0.60760000000000003</v>
      </c>
      <c r="L8">
        <v>0</v>
      </c>
      <c r="M8">
        <v>75</v>
      </c>
      <c r="N8">
        <v>190.08897999999999</v>
      </c>
      <c r="O8">
        <v>5.1700000000000001E-3</v>
      </c>
      <c r="P8">
        <v>1.014E-2</v>
      </c>
      <c r="Q8">
        <v>0.24879000000000001</v>
      </c>
      <c r="R8">
        <v>20</v>
      </c>
    </row>
    <row r="9" spans="1:21">
      <c r="A9">
        <v>295.64999999999998</v>
      </c>
      <c r="B9">
        <v>101580</v>
      </c>
      <c r="C9">
        <v>1.1969399999999999</v>
      </c>
      <c r="D9">
        <v>452.09586999999999</v>
      </c>
      <c r="E9">
        <v>0.51585000000000003</v>
      </c>
      <c r="F9">
        <v>1.87635</v>
      </c>
      <c r="G9">
        <v>2038.9780499999999</v>
      </c>
      <c r="H9">
        <v>0.58209999999999995</v>
      </c>
      <c r="I9" s="2">
        <f t="shared" si="0"/>
        <v>0.50598877216946991</v>
      </c>
      <c r="J9" s="2">
        <f t="shared" si="1"/>
        <v>434.97613491734955</v>
      </c>
      <c r="K9">
        <v>0.60699999999999998</v>
      </c>
      <c r="L9">
        <v>0</v>
      </c>
      <c r="M9">
        <v>75</v>
      </c>
      <c r="N9">
        <v>241.66523000000001</v>
      </c>
      <c r="O9">
        <v>5.64E-3</v>
      </c>
      <c r="P9">
        <v>1.0160000000000001E-2</v>
      </c>
      <c r="Q9">
        <v>0.23294999999999999</v>
      </c>
      <c r="R9">
        <v>10</v>
      </c>
    </row>
    <row r="10" spans="1:21">
      <c r="A10">
        <v>295.25</v>
      </c>
      <c r="B10">
        <v>101580</v>
      </c>
      <c r="C10">
        <v>1.1985600000000001</v>
      </c>
      <c r="D10">
        <v>428.14346</v>
      </c>
      <c r="E10">
        <v>0.55057</v>
      </c>
      <c r="F10">
        <v>1.8703399999999999</v>
      </c>
      <c r="G10">
        <v>2039.1950300000001</v>
      </c>
      <c r="H10">
        <v>0.59019999999999995</v>
      </c>
      <c r="I10" s="2">
        <f t="shared" si="0"/>
        <v>0.53998758519924406</v>
      </c>
      <c r="J10" s="2">
        <f t="shared" si="1"/>
        <v>411.84308442718566</v>
      </c>
      <c r="K10">
        <v>0.60670000000000002</v>
      </c>
      <c r="L10">
        <v>0</v>
      </c>
      <c r="M10">
        <v>75</v>
      </c>
      <c r="N10">
        <v>275.93880999999999</v>
      </c>
      <c r="O10">
        <v>4.5100000000000001E-3</v>
      </c>
      <c r="P10">
        <v>9.8200000000000006E-3</v>
      </c>
      <c r="Q10">
        <v>0.23036000000000001</v>
      </c>
      <c r="R10">
        <v>0</v>
      </c>
    </row>
    <row r="11" spans="1:21">
      <c r="A11">
        <v>295.25</v>
      </c>
      <c r="B11">
        <v>101580</v>
      </c>
      <c r="C11">
        <v>1.1985600000000001</v>
      </c>
      <c r="D11">
        <v>392.20071000000002</v>
      </c>
      <c r="E11">
        <v>0.59865000000000002</v>
      </c>
      <c r="F11">
        <v>1.8464400000000001</v>
      </c>
      <c r="G11">
        <v>2039.9107799999999</v>
      </c>
      <c r="H11">
        <v>0.59526000000000001</v>
      </c>
      <c r="I11" s="2">
        <f t="shared" si="0"/>
        <v>0.5869374345872127</v>
      </c>
      <c r="J11" s="2">
        <f t="shared" si="1"/>
        <v>377.00405447666043</v>
      </c>
      <c r="K11">
        <v>0.60629999999999995</v>
      </c>
      <c r="L11">
        <v>0</v>
      </c>
      <c r="M11">
        <v>75</v>
      </c>
      <c r="N11">
        <v>326.65956</v>
      </c>
      <c r="O11">
        <v>5.5799999999999999E-3</v>
      </c>
      <c r="P11">
        <v>1.346E-2</v>
      </c>
      <c r="Q11">
        <v>0.21714</v>
      </c>
      <c r="R11" t="s">
        <v>94</v>
      </c>
    </row>
    <row r="12" spans="1:21">
      <c r="A12">
        <v>295.25</v>
      </c>
      <c r="B12">
        <v>101580</v>
      </c>
      <c r="C12">
        <v>1.1985600000000001</v>
      </c>
      <c r="D12">
        <v>428.14397000000002</v>
      </c>
      <c r="E12">
        <v>0.55086000000000002</v>
      </c>
      <c r="F12">
        <v>1.8697600000000001</v>
      </c>
      <c r="G12">
        <v>2038.97108</v>
      </c>
      <c r="H12">
        <v>0.59075</v>
      </c>
      <c r="I12" s="2">
        <f t="shared" si="0"/>
        <v>0.54033135183064984</v>
      </c>
      <c r="J12" s="2">
        <f t="shared" si="1"/>
        <v>411.93404949985091</v>
      </c>
      <c r="K12">
        <v>0.60629999999999995</v>
      </c>
      <c r="L12">
        <v>0</v>
      </c>
      <c r="M12">
        <v>75</v>
      </c>
      <c r="N12">
        <v>276.58904999999999</v>
      </c>
      <c r="O12">
        <v>8.2699999999999996E-3</v>
      </c>
      <c r="P12">
        <v>1.4449999999999999E-2</v>
      </c>
      <c r="Q12">
        <v>0.23365</v>
      </c>
      <c r="R12">
        <v>0</v>
      </c>
      <c r="S12" t="s">
        <v>96</v>
      </c>
      <c r="T12" t="s">
        <v>97</v>
      </c>
      <c r="U12" s="1">
        <f>100*(H10-H12)/H10</f>
        <v>-9.3188749576423327E-2</v>
      </c>
    </row>
    <row r="13" spans="1:21">
      <c r="I13" s="2"/>
      <c r="J13" s="2"/>
      <c r="R13" t="s">
        <v>95</v>
      </c>
    </row>
    <row r="14" spans="1:21">
      <c r="A14">
        <v>295.25</v>
      </c>
      <c r="B14">
        <v>101580</v>
      </c>
      <c r="C14">
        <v>1.1985600000000001</v>
      </c>
      <c r="D14">
        <v>451.94224000000003</v>
      </c>
      <c r="E14">
        <v>3.5589999999999997E-2</v>
      </c>
      <c r="F14">
        <v>0.78337000000000001</v>
      </c>
      <c r="G14">
        <v>1948.15921</v>
      </c>
      <c r="H14">
        <v>0.10063999999999999</v>
      </c>
      <c r="I14" s="2">
        <f>E14*1900/G14</f>
        <v>3.4710202150264706E-2</v>
      </c>
      <c r="J14" s="2">
        <f>D14*(1900/G14)^2</f>
        <v>429.87406456217229</v>
      </c>
      <c r="K14">
        <v>0.64239999999999997</v>
      </c>
      <c r="L14">
        <v>0</v>
      </c>
      <c r="M14">
        <v>70.45</v>
      </c>
      <c r="N14">
        <v>1.0283599999999999</v>
      </c>
      <c r="O14">
        <v>4.1900000000000001E-3</v>
      </c>
      <c r="P14">
        <v>2.7299999999999998E-3</v>
      </c>
      <c r="Q14">
        <v>0.19156000000000001</v>
      </c>
      <c r="R14">
        <v>90</v>
      </c>
    </row>
    <row r="15" spans="1:21">
      <c r="A15">
        <v>295.25</v>
      </c>
      <c r="B15">
        <v>101580</v>
      </c>
      <c r="C15">
        <v>1.1985600000000001</v>
      </c>
      <c r="D15">
        <v>457.94162999999998</v>
      </c>
      <c r="E15">
        <v>9.0539999999999995E-2</v>
      </c>
      <c r="F15">
        <v>0.98677999999999999</v>
      </c>
      <c r="G15">
        <v>1943.27683</v>
      </c>
      <c r="H15">
        <v>0.20649000000000001</v>
      </c>
      <c r="I15" s="2">
        <f t="shared" ref="I15:I23" si="2">E15*1900/G15</f>
        <v>8.8523671637663684E-2</v>
      </c>
      <c r="J15" s="2">
        <f t="shared" ref="J15:J23" si="3">D15*(1900/G15)^2</f>
        <v>437.77200193642329</v>
      </c>
      <c r="K15">
        <v>0.621</v>
      </c>
      <c r="L15">
        <v>0</v>
      </c>
      <c r="M15">
        <v>70.45</v>
      </c>
      <c r="N15">
        <v>7.1231099999999996</v>
      </c>
      <c r="O15">
        <v>5.1599999999999997E-3</v>
      </c>
      <c r="P15">
        <v>2.6700000000000001E-3</v>
      </c>
      <c r="Q15">
        <v>0.23699999999999999</v>
      </c>
      <c r="R15">
        <v>60</v>
      </c>
    </row>
    <row r="16" spans="1:21">
      <c r="A16">
        <v>295.25</v>
      </c>
      <c r="B16">
        <v>101580</v>
      </c>
      <c r="C16">
        <v>1.1985600000000001</v>
      </c>
      <c r="D16">
        <v>463.21287000000001</v>
      </c>
      <c r="E16">
        <v>0.16259000000000001</v>
      </c>
      <c r="F16">
        <v>1.18709</v>
      </c>
      <c r="G16">
        <v>1938.39168</v>
      </c>
      <c r="H16">
        <v>0.31254999999999999</v>
      </c>
      <c r="I16" s="2">
        <f t="shared" si="2"/>
        <v>0.15936975131878406</v>
      </c>
      <c r="J16" s="2">
        <f t="shared" si="3"/>
        <v>445.04583932012162</v>
      </c>
      <c r="K16">
        <v>0.61460000000000004</v>
      </c>
      <c r="L16">
        <v>0</v>
      </c>
      <c r="M16">
        <v>70.45</v>
      </c>
      <c r="N16">
        <v>23.450119999999998</v>
      </c>
      <c r="O16">
        <v>5.77E-3</v>
      </c>
      <c r="P16">
        <v>3.3999999999999998E-3</v>
      </c>
      <c r="Q16">
        <v>0.21396000000000001</v>
      </c>
      <c r="R16">
        <v>50</v>
      </c>
    </row>
    <row r="17" spans="1:21">
      <c r="A17">
        <v>295.25</v>
      </c>
      <c r="B17">
        <v>101580</v>
      </c>
      <c r="C17">
        <v>1.1985600000000001</v>
      </c>
      <c r="D17">
        <v>473.05696</v>
      </c>
      <c r="E17">
        <v>0.26554</v>
      </c>
      <c r="F17">
        <v>1.4360900000000001</v>
      </c>
      <c r="G17">
        <v>1931.7073499999999</v>
      </c>
      <c r="H17">
        <v>0.43242000000000003</v>
      </c>
      <c r="I17" s="2">
        <f t="shared" si="2"/>
        <v>0.26118138443693351</v>
      </c>
      <c r="J17" s="2">
        <f t="shared" si="3"/>
        <v>457.65474963790484</v>
      </c>
      <c r="K17">
        <v>0.61080000000000001</v>
      </c>
      <c r="L17">
        <v>0</v>
      </c>
      <c r="M17">
        <v>70.45</v>
      </c>
      <c r="N17">
        <v>63.329610000000002</v>
      </c>
      <c r="O17">
        <v>4.5799999999999999E-3</v>
      </c>
      <c r="P17">
        <v>4.6100000000000004E-3</v>
      </c>
      <c r="Q17">
        <v>0.17319000000000001</v>
      </c>
      <c r="R17">
        <v>40</v>
      </c>
    </row>
    <row r="18" spans="1:21">
      <c r="A18">
        <v>295.25</v>
      </c>
      <c r="B18">
        <v>101580</v>
      </c>
      <c r="C18">
        <v>1.1985600000000001</v>
      </c>
      <c r="D18">
        <v>460.98302000000001</v>
      </c>
      <c r="E18">
        <v>0.35365000000000002</v>
      </c>
      <c r="F18">
        <v>1.5878099999999999</v>
      </c>
      <c r="G18">
        <v>1927.7507599999999</v>
      </c>
      <c r="H18">
        <v>0.50861000000000001</v>
      </c>
      <c r="I18" s="2">
        <f t="shared" si="2"/>
        <v>0.34855906372460727</v>
      </c>
      <c r="J18" s="2">
        <f t="shared" si="3"/>
        <v>447.8064705690926</v>
      </c>
      <c r="K18">
        <v>0.60899999999999999</v>
      </c>
      <c r="L18">
        <v>0</v>
      </c>
      <c r="M18">
        <v>70.45</v>
      </c>
      <c r="N18">
        <v>112.99193</v>
      </c>
      <c r="O18">
        <v>4.5799999999999999E-3</v>
      </c>
      <c r="P18">
        <v>5.6299999999999996E-3</v>
      </c>
      <c r="Q18">
        <v>0.15112999999999999</v>
      </c>
      <c r="R18">
        <v>30</v>
      </c>
    </row>
    <row r="19" spans="1:21">
      <c r="A19">
        <v>295.25</v>
      </c>
      <c r="B19">
        <v>101580</v>
      </c>
      <c r="C19">
        <v>1.1985600000000001</v>
      </c>
      <c r="D19">
        <v>429.70177999999999</v>
      </c>
      <c r="E19">
        <v>0.43178</v>
      </c>
      <c r="F19">
        <v>1.6679900000000001</v>
      </c>
      <c r="G19">
        <v>1925.41904</v>
      </c>
      <c r="H19">
        <v>0.55166999999999999</v>
      </c>
      <c r="I19" s="2">
        <f t="shared" si="2"/>
        <v>0.42607971717159293</v>
      </c>
      <c r="J19" s="2">
        <f t="shared" si="3"/>
        <v>418.43097883728933</v>
      </c>
      <c r="K19">
        <v>0.6079</v>
      </c>
      <c r="L19">
        <v>0</v>
      </c>
      <c r="M19">
        <v>70.45</v>
      </c>
      <c r="N19">
        <v>169.03843000000001</v>
      </c>
      <c r="O19">
        <v>4.3299999999999996E-3</v>
      </c>
      <c r="P19">
        <v>7.7799999999999996E-3</v>
      </c>
      <c r="Q19">
        <v>0.1404</v>
      </c>
      <c r="R19">
        <v>20</v>
      </c>
    </row>
    <row r="20" spans="1:21">
      <c r="A20">
        <v>295.25</v>
      </c>
      <c r="B20">
        <v>101580</v>
      </c>
      <c r="C20">
        <v>1.1985600000000001</v>
      </c>
      <c r="D20">
        <v>395.98311000000001</v>
      </c>
      <c r="E20">
        <v>0.49618000000000001</v>
      </c>
      <c r="F20">
        <v>1.6902600000000001</v>
      </c>
      <c r="G20">
        <v>1924.8613</v>
      </c>
      <c r="H20">
        <v>0.57667999999999997</v>
      </c>
      <c r="I20" s="2">
        <f t="shared" si="2"/>
        <v>0.48977139287906096</v>
      </c>
      <c r="J20" s="2">
        <f t="shared" si="3"/>
        <v>385.82021811302587</v>
      </c>
      <c r="K20">
        <v>0.60719999999999996</v>
      </c>
      <c r="L20">
        <v>0</v>
      </c>
      <c r="M20">
        <v>70.45</v>
      </c>
      <c r="N20">
        <v>223.74333999999999</v>
      </c>
      <c r="O20">
        <v>4.6100000000000004E-3</v>
      </c>
      <c r="P20">
        <v>1.008E-2</v>
      </c>
      <c r="Q20">
        <v>0.14441999999999999</v>
      </c>
      <c r="R20">
        <v>10</v>
      </c>
    </row>
    <row r="21" spans="1:21">
      <c r="A21">
        <v>295.25</v>
      </c>
      <c r="B21">
        <v>101580</v>
      </c>
      <c r="C21">
        <v>1.1985600000000001</v>
      </c>
      <c r="D21">
        <v>381.71168999999998</v>
      </c>
      <c r="E21">
        <v>0.51885000000000003</v>
      </c>
      <c r="F21">
        <v>1.6864600000000001</v>
      </c>
      <c r="G21">
        <v>1924.85906</v>
      </c>
      <c r="H21">
        <v>0.58260999999999996</v>
      </c>
      <c r="I21" s="2">
        <f t="shared" si="2"/>
        <v>0.51214918561362099</v>
      </c>
      <c r="J21" s="2">
        <f t="shared" si="3"/>
        <v>371.91593919169878</v>
      </c>
      <c r="K21">
        <v>0.60699999999999998</v>
      </c>
      <c r="L21">
        <v>0</v>
      </c>
      <c r="M21">
        <v>70.45</v>
      </c>
      <c r="N21">
        <v>244.81806</v>
      </c>
      <c r="O21">
        <v>6.5399999999999998E-3</v>
      </c>
      <c r="P21">
        <v>1.354E-2</v>
      </c>
      <c r="Q21">
        <v>0.14235</v>
      </c>
      <c r="R21">
        <v>0</v>
      </c>
    </row>
    <row r="22" spans="1:21">
      <c r="A22">
        <v>295.25</v>
      </c>
      <c r="B22">
        <v>101580</v>
      </c>
      <c r="C22">
        <v>1.1985600000000001</v>
      </c>
      <c r="D22">
        <v>349.05119000000002</v>
      </c>
      <c r="E22">
        <v>0.56564999999999999</v>
      </c>
      <c r="F22">
        <v>1.6598900000000001</v>
      </c>
      <c r="G22">
        <v>1925.5243700000001</v>
      </c>
      <c r="H22">
        <v>0.58989999999999998</v>
      </c>
      <c r="I22" s="2">
        <f t="shared" si="2"/>
        <v>0.55815185553844737</v>
      </c>
      <c r="J22" s="2">
        <f t="shared" si="3"/>
        <v>339.85861698057784</v>
      </c>
      <c r="K22">
        <v>0.60660000000000003</v>
      </c>
      <c r="L22">
        <v>0</v>
      </c>
      <c r="M22">
        <v>70.45</v>
      </c>
      <c r="N22">
        <v>291.35394000000002</v>
      </c>
      <c r="O22">
        <v>5.64E-3</v>
      </c>
      <c r="P22">
        <v>1.197E-2</v>
      </c>
      <c r="Q22">
        <v>0.15987000000000001</v>
      </c>
      <c r="R22" t="s">
        <v>94</v>
      </c>
    </row>
    <row r="23" spans="1:21">
      <c r="A23">
        <v>295.25</v>
      </c>
      <c r="B23">
        <v>101580</v>
      </c>
      <c r="C23">
        <v>1.1985600000000001</v>
      </c>
      <c r="D23">
        <v>381.46778999999998</v>
      </c>
      <c r="E23">
        <v>0.51861999999999997</v>
      </c>
      <c r="F23">
        <v>1.68815</v>
      </c>
      <c r="G23">
        <v>1924.67922</v>
      </c>
      <c r="H23">
        <v>0.58143999999999996</v>
      </c>
      <c r="I23" s="2">
        <f t="shared" si="2"/>
        <v>0.51196998947180405</v>
      </c>
      <c r="J23" s="2">
        <f t="shared" si="3"/>
        <v>371.7477600259341</v>
      </c>
      <c r="K23">
        <v>0.60699999999999998</v>
      </c>
      <c r="L23">
        <v>0</v>
      </c>
      <c r="M23">
        <v>70.45</v>
      </c>
      <c r="N23">
        <v>244.59468000000001</v>
      </c>
      <c r="O23">
        <v>4.8799999999999998E-3</v>
      </c>
      <c r="P23">
        <v>1.129E-2</v>
      </c>
      <c r="Q23">
        <v>0.14968000000000001</v>
      </c>
      <c r="R23">
        <v>0</v>
      </c>
      <c r="S23" t="s">
        <v>96</v>
      </c>
      <c r="T23" t="s">
        <v>97</v>
      </c>
      <c r="U23" s="1">
        <f>100*(H21-H23)/H21</f>
        <v>0.20082044592437556</v>
      </c>
    </row>
    <row r="24" spans="1:21">
      <c r="I24" s="2"/>
      <c r="J24" s="2"/>
      <c r="R24" t="s">
        <v>95</v>
      </c>
    </row>
    <row r="25" spans="1:21">
      <c r="A25">
        <v>295.25</v>
      </c>
      <c r="B25">
        <v>101580</v>
      </c>
      <c r="C25">
        <v>1.1985600000000001</v>
      </c>
      <c r="D25">
        <v>383.24052999999998</v>
      </c>
      <c r="E25">
        <v>3.5439999999999999E-2</v>
      </c>
      <c r="F25">
        <v>0.68618000000000001</v>
      </c>
      <c r="G25">
        <v>1792.1488300000001</v>
      </c>
      <c r="H25">
        <v>0.10546999999999999</v>
      </c>
      <c r="I25" s="2">
        <f>E25*1760/G25</f>
        <v>3.4804252278534252E-2</v>
      </c>
      <c r="J25" s="2">
        <f>D25*(1760/G25)^2</f>
        <v>369.6141777364607</v>
      </c>
      <c r="K25">
        <v>0.64239999999999997</v>
      </c>
      <c r="L25">
        <v>0</v>
      </c>
      <c r="M25">
        <v>64.705799999999996</v>
      </c>
      <c r="N25">
        <v>1.01976</v>
      </c>
      <c r="O25">
        <v>5.4599999999999996E-3</v>
      </c>
      <c r="P25">
        <v>3.3E-3</v>
      </c>
      <c r="Q25">
        <v>0.22492999999999999</v>
      </c>
      <c r="R25">
        <v>90</v>
      </c>
    </row>
    <row r="26" spans="1:21">
      <c r="A26">
        <v>295.25</v>
      </c>
      <c r="B26">
        <v>101580</v>
      </c>
      <c r="C26">
        <v>1.1985600000000001</v>
      </c>
      <c r="D26">
        <v>388.56468999999998</v>
      </c>
      <c r="E26">
        <v>9.1619999999999993E-2</v>
      </c>
      <c r="F26">
        <v>0.87875000000000003</v>
      </c>
      <c r="G26">
        <v>1788.16868</v>
      </c>
      <c r="H26">
        <v>0.21634999999999999</v>
      </c>
      <c r="I26" s="2">
        <f t="shared" ref="I26:I34" si="4">E26*1760/G26</f>
        <v>9.0176727622810163E-2</v>
      </c>
      <c r="J26" s="2">
        <f t="shared" ref="J26:J34" si="5">D26*(1760/G26)^2</f>
        <v>376.41914188294766</v>
      </c>
      <c r="K26">
        <v>0.62070000000000003</v>
      </c>
      <c r="L26">
        <v>0</v>
      </c>
      <c r="M26">
        <v>64.705799999999996</v>
      </c>
      <c r="N26">
        <v>7.3002500000000001</v>
      </c>
      <c r="O26">
        <v>4.8300000000000001E-3</v>
      </c>
      <c r="P26">
        <v>3.3300000000000001E-3</v>
      </c>
      <c r="Q26">
        <v>0.21940000000000001</v>
      </c>
      <c r="R26">
        <v>60</v>
      </c>
    </row>
    <row r="27" spans="1:21">
      <c r="A27">
        <v>295.25</v>
      </c>
      <c r="B27">
        <v>101580</v>
      </c>
      <c r="C27">
        <v>1.1985600000000001</v>
      </c>
      <c r="D27">
        <v>392.95053999999999</v>
      </c>
      <c r="E27">
        <v>0.15332999999999999</v>
      </c>
      <c r="F27">
        <v>1.0361899999999999</v>
      </c>
      <c r="G27">
        <v>1785.2993100000001</v>
      </c>
      <c r="H27">
        <v>0.31102000000000002</v>
      </c>
      <c r="I27" s="2">
        <f t="shared" si="4"/>
        <v>0.15115717487170258</v>
      </c>
      <c r="J27" s="2">
        <f t="shared" si="5"/>
        <v>381.89251930396097</v>
      </c>
      <c r="K27">
        <v>0.61509999999999998</v>
      </c>
      <c r="L27">
        <v>0</v>
      </c>
      <c r="M27">
        <v>64.705799999999996</v>
      </c>
      <c r="N27">
        <v>20.820959999999999</v>
      </c>
      <c r="O27">
        <v>4.7499999999999999E-3</v>
      </c>
      <c r="P27">
        <v>3.6099999999999999E-3</v>
      </c>
      <c r="Q27">
        <v>0.16933999999999999</v>
      </c>
      <c r="R27">
        <v>50</v>
      </c>
    </row>
    <row r="28" spans="1:21">
      <c r="A28">
        <v>295.25</v>
      </c>
      <c r="B28">
        <v>101580</v>
      </c>
      <c r="C28">
        <v>1.1985600000000001</v>
      </c>
      <c r="D28">
        <v>399.93326000000002</v>
      </c>
      <c r="E28">
        <v>0.23991000000000001</v>
      </c>
      <c r="F28">
        <v>1.22807</v>
      </c>
      <c r="G28">
        <v>1781.2353599999999</v>
      </c>
      <c r="H28">
        <v>0.41885</v>
      </c>
      <c r="I28" s="2">
        <f t="shared" si="4"/>
        <v>0.23704986408983034</v>
      </c>
      <c r="J28" s="2">
        <f t="shared" si="5"/>
        <v>390.45432975179796</v>
      </c>
      <c r="K28">
        <v>0.61150000000000004</v>
      </c>
      <c r="L28">
        <v>0</v>
      </c>
      <c r="M28">
        <v>64.705799999999996</v>
      </c>
      <c r="N28">
        <v>51.57347</v>
      </c>
      <c r="O28">
        <v>4.13E-3</v>
      </c>
      <c r="P28">
        <v>4.1700000000000001E-3</v>
      </c>
      <c r="Q28">
        <v>0.15043999999999999</v>
      </c>
      <c r="R28">
        <v>40</v>
      </c>
    </row>
    <row r="29" spans="1:21">
      <c r="A29">
        <v>295.25</v>
      </c>
      <c r="B29">
        <v>101580</v>
      </c>
      <c r="C29">
        <v>1.1985600000000001</v>
      </c>
      <c r="D29">
        <v>385.86201</v>
      </c>
      <c r="E29">
        <v>0.34416000000000002</v>
      </c>
      <c r="F29">
        <v>1.38944</v>
      </c>
      <c r="G29">
        <v>1777.7960399999999</v>
      </c>
      <c r="H29">
        <v>0.51337999999999995</v>
      </c>
      <c r="I29" s="2">
        <f t="shared" si="4"/>
        <v>0.34071490000618976</v>
      </c>
      <c r="J29" s="2">
        <f t="shared" si="5"/>
        <v>378.17558634367191</v>
      </c>
      <c r="K29">
        <v>0.60909999999999997</v>
      </c>
      <c r="L29">
        <v>0</v>
      </c>
      <c r="M29">
        <v>64.705799999999996</v>
      </c>
      <c r="N29">
        <v>106.9722</v>
      </c>
      <c r="O29">
        <v>4.3499999999999997E-3</v>
      </c>
      <c r="P29">
        <v>5.2900000000000004E-3</v>
      </c>
      <c r="Q29">
        <v>0.14266000000000001</v>
      </c>
      <c r="R29">
        <v>30</v>
      </c>
    </row>
    <row r="30" spans="1:21">
      <c r="A30">
        <v>295.25</v>
      </c>
      <c r="B30">
        <v>101580</v>
      </c>
      <c r="C30">
        <v>1.1985600000000001</v>
      </c>
      <c r="D30">
        <v>363.36747000000003</v>
      </c>
      <c r="E30">
        <v>0.40371000000000001</v>
      </c>
      <c r="F30">
        <v>1.43733</v>
      </c>
      <c r="G30">
        <v>1776.6913099999999</v>
      </c>
      <c r="H30">
        <v>0.54854999999999998</v>
      </c>
      <c r="I30" s="2">
        <f t="shared" si="4"/>
        <v>0.39991730471175663</v>
      </c>
      <c r="J30" s="2">
        <f t="shared" si="5"/>
        <v>356.57215384599215</v>
      </c>
      <c r="K30">
        <v>0.60829999999999995</v>
      </c>
      <c r="L30">
        <v>0</v>
      </c>
      <c r="M30">
        <v>64.705799999999996</v>
      </c>
      <c r="N30">
        <v>147.58072999999999</v>
      </c>
      <c r="O30">
        <v>4.6299999999999996E-3</v>
      </c>
      <c r="P30">
        <v>1.0670000000000001E-2</v>
      </c>
      <c r="Q30">
        <v>0.14316000000000001</v>
      </c>
      <c r="R30">
        <v>20</v>
      </c>
    </row>
    <row r="31" spans="1:21">
      <c r="A31">
        <v>295.25</v>
      </c>
      <c r="B31">
        <v>101580</v>
      </c>
      <c r="C31">
        <v>1.1985600000000001</v>
      </c>
      <c r="D31">
        <v>339.58677999999998</v>
      </c>
      <c r="E31">
        <v>0.45343</v>
      </c>
      <c r="F31">
        <v>1.4539200000000001</v>
      </c>
      <c r="G31">
        <v>1776.2206900000001</v>
      </c>
      <c r="H31">
        <v>0.56937000000000004</v>
      </c>
      <c r="I31" s="2">
        <f t="shared" si="4"/>
        <v>0.44928921529452509</v>
      </c>
      <c r="J31" s="2">
        <f t="shared" si="5"/>
        <v>333.41279441623408</v>
      </c>
      <c r="K31">
        <v>0.60760000000000003</v>
      </c>
      <c r="L31">
        <v>0</v>
      </c>
      <c r="M31">
        <v>64.705799999999996</v>
      </c>
      <c r="N31">
        <v>186.59992</v>
      </c>
      <c r="O31">
        <v>5.5900000000000004E-3</v>
      </c>
      <c r="P31">
        <v>1.0710000000000001E-2</v>
      </c>
      <c r="Q31">
        <v>0.14135</v>
      </c>
      <c r="R31">
        <v>10</v>
      </c>
    </row>
    <row r="32" spans="1:21">
      <c r="A32">
        <v>295.25</v>
      </c>
      <c r="B32">
        <v>101580</v>
      </c>
      <c r="C32">
        <v>1.1985600000000001</v>
      </c>
      <c r="D32">
        <v>324.03246999999999</v>
      </c>
      <c r="E32">
        <v>0.48043000000000002</v>
      </c>
      <c r="F32">
        <v>1.4499</v>
      </c>
      <c r="G32">
        <v>1776.3336300000001</v>
      </c>
      <c r="H32">
        <v>0.57720000000000005</v>
      </c>
      <c r="I32" s="2">
        <f t="shared" si="4"/>
        <v>0.47601238062469153</v>
      </c>
      <c r="J32" s="2">
        <f t="shared" si="5"/>
        <v>318.10082160596613</v>
      </c>
      <c r="K32">
        <v>0.60740000000000005</v>
      </c>
      <c r="L32">
        <v>0</v>
      </c>
      <c r="M32">
        <v>64.705799999999996</v>
      </c>
      <c r="N32">
        <v>209.62524999999999</v>
      </c>
      <c r="O32">
        <v>6.7099999999999998E-3</v>
      </c>
      <c r="P32">
        <v>1.187E-2</v>
      </c>
      <c r="Q32">
        <v>0.14177999999999999</v>
      </c>
      <c r="R32">
        <v>0</v>
      </c>
    </row>
    <row r="33" spans="1:21">
      <c r="A33">
        <v>295.25</v>
      </c>
      <c r="B33">
        <v>101580</v>
      </c>
      <c r="C33">
        <v>1.1985600000000001</v>
      </c>
      <c r="D33">
        <v>296.45728000000003</v>
      </c>
      <c r="E33">
        <v>0.52242</v>
      </c>
      <c r="F33">
        <v>1.4214899999999999</v>
      </c>
      <c r="G33">
        <v>1776.80341</v>
      </c>
      <c r="H33">
        <v>0.58555999999999997</v>
      </c>
      <c r="I33" s="2">
        <f t="shared" si="4"/>
        <v>0.51747942109138567</v>
      </c>
      <c r="J33" s="2">
        <f t="shared" si="5"/>
        <v>290.87654107055442</v>
      </c>
      <c r="K33">
        <v>0.6069</v>
      </c>
      <c r="L33">
        <v>0</v>
      </c>
      <c r="M33">
        <v>64.705799999999996</v>
      </c>
      <c r="N33">
        <v>248.27685</v>
      </c>
      <c r="O33">
        <v>5.6899999999999997E-3</v>
      </c>
      <c r="P33">
        <v>1.0059999999999999E-2</v>
      </c>
      <c r="Q33">
        <v>0.14834</v>
      </c>
      <c r="R33" t="s">
        <v>94</v>
      </c>
    </row>
    <row r="34" spans="1:21">
      <c r="A34">
        <v>295.25</v>
      </c>
      <c r="B34">
        <v>101580</v>
      </c>
      <c r="C34">
        <v>1.1985600000000001</v>
      </c>
      <c r="D34">
        <v>324.04361999999998</v>
      </c>
      <c r="E34">
        <v>0.48041</v>
      </c>
      <c r="F34">
        <v>1.4509799999999999</v>
      </c>
      <c r="G34">
        <v>1776.11249</v>
      </c>
      <c r="H34">
        <v>0.57682999999999995</v>
      </c>
      <c r="I34" s="2">
        <f t="shared" si="4"/>
        <v>0.47605182935231766</v>
      </c>
      <c r="J34" s="2">
        <f t="shared" si="5"/>
        <v>318.19098727187105</v>
      </c>
      <c r="K34">
        <v>0.60740000000000005</v>
      </c>
      <c r="L34">
        <v>0</v>
      </c>
      <c r="M34">
        <v>64.705799999999996</v>
      </c>
      <c r="N34">
        <v>209.60310000000001</v>
      </c>
      <c r="O34">
        <v>5.2599999999999999E-3</v>
      </c>
      <c r="P34">
        <v>9.92E-3</v>
      </c>
      <c r="Q34">
        <v>0.14213000000000001</v>
      </c>
      <c r="R34">
        <v>0</v>
      </c>
      <c r="S34" t="s">
        <v>96</v>
      </c>
      <c r="T34" t="s">
        <v>97</v>
      </c>
      <c r="U34" s="1">
        <f>100*(H32-H34)/H32</f>
        <v>6.4102564102580126E-2</v>
      </c>
    </row>
    <row r="35" spans="1:21">
      <c r="I35" s="2"/>
      <c r="J35" s="2"/>
      <c r="R35" t="s">
        <v>95</v>
      </c>
    </row>
    <row r="36" spans="1:21">
      <c r="A36">
        <v>295.25</v>
      </c>
      <c r="B36">
        <v>101580</v>
      </c>
      <c r="C36">
        <v>1.1985600000000001</v>
      </c>
      <c r="D36">
        <v>307.44961000000001</v>
      </c>
      <c r="E36">
        <v>3.6020000000000003E-2</v>
      </c>
      <c r="F36">
        <v>0.57426999999999995</v>
      </c>
      <c r="G36">
        <v>1607.1034</v>
      </c>
      <c r="H36">
        <v>0.11458</v>
      </c>
      <c r="I36" s="2">
        <f>E36*1600/G36</f>
        <v>3.5860791533388586E-2</v>
      </c>
      <c r="J36" s="2">
        <f>D36*(1600/G36)^2</f>
        <v>304.73776077406006</v>
      </c>
      <c r="K36">
        <v>0.64239999999999997</v>
      </c>
      <c r="L36">
        <v>0</v>
      </c>
      <c r="M36">
        <v>57.924300000000002</v>
      </c>
      <c r="N36">
        <v>1.0533399999999999</v>
      </c>
      <c r="O36">
        <v>6.1700000000000001E-3</v>
      </c>
      <c r="P36">
        <v>3.48E-3</v>
      </c>
      <c r="Q36">
        <v>0.19503000000000001</v>
      </c>
      <c r="R36">
        <v>90</v>
      </c>
    </row>
    <row r="37" spans="1:21">
      <c r="A37">
        <v>295.25</v>
      </c>
      <c r="B37">
        <v>101580</v>
      </c>
      <c r="C37">
        <v>1.1985600000000001</v>
      </c>
      <c r="D37">
        <v>312.87007999999997</v>
      </c>
      <c r="E37">
        <v>8.7529999999999997E-2</v>
      </c>
      <c r="F37">
        <v>0.73831000000000002</v>
      </c>
      <c r="G37">
        <v>1604.79538</v>
      </c>
      <c r="H37">
        <v>0.22072</v>
      </c>
      <c r="I37" s="2">
        <f t="shared" ref="I37:I45" si="6">E37*1600/G37</f>
        <v>8.7268446647696604E-2</v>
      </c>
      <c r="J37" s="2">
        <f t="shared" ref="J37:J45" si="7">D37*(1600/G37)^2</f>
        <v>311.00306401655422</v>
      </c>
      <c r="K37">
        <v>0.62129999999999996</v>
      </c>
      <c r="L37">
        <v>0</v>
      </c>
      <c r="M37">
        <v>57.924300000000002</v>
      </c>
      <c r="N37">
        <v>6.6506299999999996</v>
      </c>
      <c r="O37">
        <v>5.6100000000000004E-3</v>
      </c>
      <c r="P37">
        <v>3.4499999999999999E-3</v>
      </c>
      <c r="Q37">
        <v>0.13214999999999999</v>
      </c>
      <c r="R37">
        <v>60</v>
      </c>
    </row>
    <row r="38" spans="1:21">
      <c r="A38">
        <v>295.25</v>
      </c>
      <c r="B38">
        <v>101580</v>
      </c>
      <c r="C38">
        <v>1.1985600000000001</v>
      </c>
      <c r="D38">
        <v>316.77931999999998</v>
      </c>
      <c r="E38">
        <v>0.14285</v>
      </c>
      <c r="F38">
        <v>0.86841000000000002</v>
      </c>
      <c r="G38">
        <v>1602.92992</v>
      </c>
      <c r="H38">
        <v>0.31043999999999999</v>
      </c>
      <c r="I38" s="2">
        <f t="shared" si="6"/>
        <v>0.14258889122239354</v>
      </c>
      <c r="J38" s="2">
        <f t="shared" si="7"/>
        <v>315.62232641745203</v>
      </c>
      <c r="K38">
        <v>0.61580000000000001</v>
      </c>
      <c r="L38">
        <v>0</v>
      </c>
      <c r="M38">
        <v>57.924300000000002</v>
      </c>
      <c r="N38">
        <v>18.030639999999998</v>
      </c>
      <c r="O38">
        <v>5.5700000000000003E-3</v>
      </c>
      <c r="P38">
        <v>3.5100000000000001E-3</v>
      </c>
      <c r="Q38">
        <v>9.3759999999999996E-2</v>
      </c>
      <c r="R38">
        <v>50</v>
      </c>
    </row>
    <row r="39" spans="1:21">
      <c r="A39">
        <v>295.25</v>
      </c>
      <c r="B39">
        <v>101580</v>
      </c>
      <c r="C39">
        <v>1.1985600000000001</v>
      </c>
      <c r="D39">
        <v>323.5849</v>
      </c>
      <c r="E39">
        <v>0.21917</v>
      </c>
      <c r="F39">
        <v>1.02427</v>
      </c>
      <c r="G39">
        <v>1600.4247499999999</v>
      </c>
      <c r="H39">
        <v>0.41313</v>
      </c>
      <c r="I39" s="2">
        <f t="shared" si="6"/>
        <v>0.21911183265567472</v>
      </c>
      <c r="J39" s="2">
        <f t="shared" si="7"/>
        <v>323.41316503058306</v>
      </c>
      <c r="K39">
        <v>0.61219999999999997</v>
      </c>
      <c r="L39">
        <v>0</v>
      </c>
      <c r="M39">
        <v>57.924300000000002</v>
      </c>
      <c r="N39">
        <v>42.943289999999998</v>
      </c>
      <c r="O39">
        <v>4.1999999999999997E-3</v>
      </c>
      <c r="P39">
        <v>3.7399999999999998E-3</v>
      </c>
      <c r="Q39">
        <v>8.8599999999999998E-2</v>
      </c>
      <c r="R39">
        <v>40</v>
      </c>
    </row>
    <row r="40" spans="1:21">
      <c r="A40">
        <v>295.25</v>
      </c>
      <c r="B40">
        <v>101580</v>
      </c>
      <c r="C40">
        <v>1.1985600000000001</v>
      </c>
      <c r="D40">
        <v>313.20542999999998</v>
      </c>
      <c r="E40">
        <v>0.30169000000000001</v>
      </c>
      <c r="F40">
        <v>1.14175</v>
      </c>
      <c r="G40">
        <v>1598.4796100000001</v>
      </c>
      <c r="H40">
        <v>0.49440000000000001</v>
      </c>
      <c r="I40" s="2">
        <f t="shared" si="6"/>
        <v>0.30197695171100741</v>
      </c>
      <c r="J40" s="2">
        <f t="shared" si="7"/>
        <v>313.80152251980775</v>
      </c>
      <c r="K40">
        <v>0.61</v>
      </c>
      <c r="L40">
        <v>0</v>
      </c>
      <c r="M40">
        <v>57.924300000000002</v>
      </c>
      <c r="N40">
        <v>81.956760000000003</v>
      </c>
      <c r="O40">
        <v>4.7800000000000004E-3</v>
      </c>
      <c r="P40">
        <v>5.3400000000000001E-3</v>
      </c>
      <c r="Q40">
        <v>8.4970000000000004E-2</v>
      </c>
      <c r="R40">
        <v>30</v>
      </c>
    </row>
    <row r="41" spans="1:21">
      <c r="A41">
        <v>295.25</v>
      </c>
      <c r="B41">
        <v>101580</v>
      </c>
      <c r="C41">
        <v>1.1985600000000001</v>
      </c>
      <c r="D41">
        <v>292.05</v>
      </c>
      <c r="E41">
        <v>0.36665999999999999</v>
      </c>
      <c r="F41">
        <v>1.1932700000000001</v>
      </c>
      <c r="G41">
        <v>1597.6076599999999</v>
      </c>
      <c r="H41">
        <v>0.53639000000000003</v>
      </c>
      <c r="I41" s="2">
        <f t="shared" si="6"/>
        <v>0.36720905557000144</v>
      </c>
      <c r="J41" s="2">
        <f t="shared" si="7"/>
        <v>292.92531630748317</v>
      </c>
      <c r="K41">
        <v>0.60880000000000001</v>
      </c>
      <c r="L41">
        <v>0</v>
      </c>
      <c r="M41">
        <v>57.924300000000002</v>
      </c>
      <c r="N41">
        <v>121.5352</v>
      </c>
      <c r="O41">
        <v>4.5900000000000003E-3</v>
      </c>
      <c r="P41">
        <v>6.6899999999999998E-3</v>
      </c>
      <c r="Q41">
        <v>8.8679999999999995E-2</v>
      </c>
      <c r="R41">
        <v>20</v>
      </c>
    </row>
    <row r="42" spans="1:21">
      <c r="A42">
        <v>295.25</v>
      </c>
      <c r="B42">
        <v>101580</v>
      </c>
      <c r="C42">
        <v>1.1985600000000001</v>
      </c>
      <c r="D42">
        <v>273.12045999999998</v>
      </c>
      <c r="E42">
        <v>0.41114000000000001</v>
      </c>
      <c r="F42">
        <v>1.2013499999999999</v>
      </c>
      <c r="G42">
        <v>1597.45135</v>
      </c>
      <c r="H42">
        <v>0.55874999999999997</v>
      </c>
      <c r="I42" s="2">
        <f t="shared" si="6"/>
        <v>0.41179595234621696</v>
      </c>
      <c r="J42" s="2">
        <f t="shared" si="7"/>
        <v>273.99265400669401</v>
      </c>
      <c r="K42">
        <v>0.60819999999999996</v>
      </c>
      <c r="L42">
        <v>0</v>
      </c>
      <c r="M42">
        <v>57.924300000000002</v>
      </c>
      <c r="N42">
        <v>153.11592999999999</v>
      </c>
      <c r="O42">
        <v>5.1500000000000001E-3</v>
      </c>
      <c r="P42">
        <v>7.7999999999999996E-3</v>
      </c>
      <c r="Q42">
        <v>8.7389999999999995E-2</v>
      </c>
      <c r="R42">
        <v>10</v>
      </c>
    </row>
    <row r="43" spans="1:21">
      <c r="A43">
        <v>295.25</v>
      </c>
      <c r="B43">
        <v>101580</v>
      </c>
      <c r="C43">
        <v>1.1985600000000001</v>
      </c>
      <c r="D43">
        <v>261.98662000000002</v>
      </c>
      <c r="E43">
        <v>0.43132999999999999</v>
      </c>
      <c r="F43">
        <v>1.1993799999999999</v>
      </c>
      <c r="G43">
        <v>1597.4141400000001</v>
      </c>
      <c r="H43">
        <v>0.56323000000000001</v>
      </c>
      <c r="I43" s="2">
        <f t="shared" si="6"/>
        <v>0.43202822782074529</v>
      </c>
      <c r="J43" s="2">
        <f t="shared" si="7"/>
        <v>262.8355032466315</v>
      </c>
      <c r="K43">
        <v>0.6079</v>
      </c>
      <c r="L43">
        <v>0</v>
      </c>
      <c r="M43">
        <v>57.924300000000002</v>
      </c>
      <c r="N43">
        <v>168.68562</v>
      </c>
      <c r="O43">
        <v>4.5599999999999998E-3</v>
      </c>
      <c r="P43">
        <v>7.6699999999999997E-3</v>
      </c>
      <c r="Q43">
        <v>8.8709999999999997E-2</v>
      </c>
      <c r="R43">
        <v>0</v>
      </c>
    </row>
    <row r="44" spans="1:21">
      <c r="A44">
        <v>295.25</v>
      </c>
      <c r="B44">
        <v>101580</v>
      </c>
      <c r="C44">
        <v>1.1985600000000001</v>
      </c>
      <c r="D44">
        <v>239.61590000000001</v>
      </c>
      <c r="E44">
        <v>0.47027999999999998</v>
      </c>
      <c r="F44">
        <v>1.17858</v>
      </c>
      <c r="G44">
        <v>1597.7738199999999</v>
      </c>
      <c r="H44">
        <v>0.57142999999999999</v>
      </c>
      <c r="I44" s="2">
        <f t="shared" si="6"/>
        <v>0.47093524163513961</v>
      </c>
      <c r="J44" s="2">
        <f t="shared" si="7"/>
        <v>240.284079351261</v>
      </c>
      <c r="K44">
        <v>0.60750000000000004</v>
      </c>
      <c r="L44">
        <v>0</v>
      </c>
      <c r="M44">
        <v>57.924300000000002</v>
      </c>
      <c r="N44">
        <v>200.79049000000001</v>
      </c>
      <c r="O44">
        <v>4.3200000000000001E-3</v>
      </c>
      <c r="P44">
        <v>7.0099999999999997E-3</v>
      </c>
      <c r="Q44">
        <v>8.8330000000000006E-2</v>
      </c>
      <c r="R44" t="s">
        <v>94</v>
      </c>
    </row>
    <row r="45" spans="1:21">
      <c r="A45">
        <v>295.25</v>
      </c>
      <c r="B45">
        <v>101580</v>
      </c>
      <c r="C45">
        <v>1.1985600000000001</v>
      </c>
      <c r="D45">
        <v>262.25092000000001</v>
      </c>
      <c r="E45">
        <v>0.43126999999999999</v>
      </c>
      <c r="F45">
        <v>1.19859</v>
      </c>
      <c r="G45">
        <v>1597.39238</v>
      </c>
      <c r="H45">
        <v>0.56410000000000005</v>
      </c>
      <c r="I45" s="2">
        <f t="shared" si="6"/>
        <v>0.43197401505070404</v>
      </c>
      <c r="J45" s="2">
        <f t="shared" si="7"/>
        <v>263.10782769457512</v>
      </c>
      <c r="K45">
        <v>0.6079</v>
      </c>
      <c r="L45">
        <v>0</v>
      </c>
      <c r="M45">
        <v>57.924300000000002</v>
      </c>
      <c r="N45">
        <v>168.64188999999999</v>
      </c>
      <c r="O45">
        <v>4.5599999999999998E-3</v>
      </c>
      <c r="P45">
        <v>6.3400000000000001E-3</v>
      </c>
      <c r="Q45">
        <v>8.9069999999999996E-2</v>
      </c>
      <c r="R45">
        <v>0</v>
      </c>
      <c r="S45" t="s">
        <v>96</v>
      </c>
      <c r="T45" t="s">
        <v>97</v>
      </c>
      <c r="U45" s="1">
        <f>100*(H43-H45)/H43</f>
        <v>-0.15446620385988627</v>
      </c>
    </row>
    <row r="46" spans="1:21">
      <c r="I46" s="2"/>
      <c r="J46" s="2"/>
      <c r="R46" t="s">
        <v>95</v>
      </c>
    </row>
    <row r="47" spans="1:21">
      <c r="A47">
        <v>295.25</v>
      </c>
      <c r="B47">
        <v>101580</v>
      </c>
      <c r="C47">
        <v>1.1985600000000001</v>
      </c>
      <c r="D47">
        <v>261.21667000000002</v>
      </c>
      <c r="E47">
        <v>3.5220000000000001E-2</v>
      </c>
      <c r="F47">
        <v>0.51317999999999997</v>
      </c>
      <c r="G47">
        <v>1482.4896799999999</v>
      </c>
      <c r="H47">
        <v>0.11548</v>
      </c>
      <c r="I47" s="2">
        <f>E47*1480/G47</f>
        <v>3.516085184485062E-2</v>
      </c>
      <c r="J47" s="2">
        <f>D47*(1480/G47)^2</f>
        <v>260.34003681306837</v>
      </c>
      <c r="K47">
        <v>0.64239999999999997</v>
      </c>
      <c r="L47">
        <v>0</v>
      </c>
      <c r="M47">
        <v>53.4</v>
      </c>
      <c r="N47">
        <v>1.0072000000000001</v>
      </c>
      <c r="O47">
        <v>4.7299999999999998E-3</v>
      </c>
      <c r="P47">
        <v>2.5999999999999999E-3</v>
      </c>
      <c r="Q47">
        <v>0.21156</v>
      </c>
      <c r="R47">
        <v>90</v>
      </c>
    </row>
    <row r="48" spans="1:21">
      <c r="A48">
        <v>295.25</v>
      </c>
      <c r="B48">
        <v>101580</v>
      </c>
      <c r="C48">
        <v>1.1985600000000001</v>
      </c>
      <c r="D48">
        <v>266.22672999999998</v>
      </c>
      <c r="E48">
        <v>7.8950000000000006E-2</v>
      </c>
      <c r="F48">
        <v>0.64810000000000001</v>
      </c>
      <c r="G48">
        <v>1480.8732399999999</v>
      </c>
      <c r="H48">
        <v>0.20913999999999999</v>
      </c>
      <c r="I48" s="2">
        <f t="shared" ref="I48:I56" si="8">E48*1480/G48</f>
        <v>7.8903444835021805E-2</v>
      </c>
      <c r="J48" s="2">
        <f t="shared" ref="J48:J56" si="9">D48*(1480/G48)^2</f>
        <v>265.91284589543375</v>
      </c>
      <c r="K48">
        <v>0.62270000000000003</v>
      </c>
      <c r="L48">
        <v>0</v>
      </c>
      <c r="M48">
        <v>53.4</v>
      </c>
      <c r="N48">
        <v>5.3865100000000004</v>
      </c>
      <c r="O48">
        <v>4.7200000000000002E-3</v>
      </c>
      <c r="P48">
        <v>2.5500000000000002E-3</v>
      </c>
      <c r="Q48">
        <v>0.13669999999999999</v>
      </c>
      <c r="R48">
        <v>60</v>
      </c>
    </row>
    <row r="49" spans="1:21">
      <c r="A49">
        <v>295.25</v>
      </c>
      <c r="B49">
        <v>101580</v>
      </c>
      <c r="C49">
        <v>1.1985600000000001</v>
      </c>
      <c r="D49">
        <v>268.98376000000002</v>
      </c>
      <c r="E49">
        <v>0.12234</v>
      </c>
      <c r="F49">
        <v>0.74470000000000003</v>
      </c>
      <c r="G49">
        <v>1479.6186600000001</v>
      </c>
      <c r="H49">
        <v>0.28519</v>
      </c>
      <c r="I49" s="2">
        <f t="shared" si="8"/>
        <v>0.12237153051313909</v>
      </c>
      <c r="J49" s="2">
        <f t="shared" si="9"/>
        <v>269.12242746611304</v>
      </c>
      <c r="K49">
        <v>0.61739999999999995</v>
      </c>
      <c r="L49">
        <v>0</v>
      </c>
      <c r="M49">
        <v>53.4</v>
      </c>
      <c r="N49">
        <v>13.15652</v>
      </c>
      <c r="O49">
        <v>4.5399999999999998E-3</v>
      </c>
      <c r="P49">
        <v>2.64E-3</v>
      </c>
      <c r="Q49">
        <v>0.10883</v>
      </c>
      <c r="R49">
        <v>50</v>
      </c>
    </row>
    <row r="50" spans="1:21">
      <c r="A50">
        <v>295.25</v>
      </c>
      <c r="B50">
        <v>101580</v>
      </c>
      <c r="C50">
        <v>1.1985600000000001</v>
      </c>
      <c r="D50">
        <v>275.50925999999998</v>
      </c>
      <c r="E50">
        <v>0.19517000000000001</v>
      </c>
      <c r="F50">
        <v>0.88751000000000002</v>
      </c>
      <c r="G50">
        <v>1477.3434500000001</v>
      </c>
      <c r="H50">
        <v>0.39162000000000002</v>
      </c>
      <c r="I50" s="2">
        <f t="shared" si="8"/>
        <v>0.19552095350610585</v>
      </c>
      <c r="J50" s="2">
        <f t="shared" si="9"/>
        <v>276.50098900847678</v>
      </c>
      <c r="K50">
        <v>0.61309999999999998</v>
      </c>
      <c r="L50">
        <v>0</v>
      </c>
      <c r="M50">
        <v>53.4</v>
      </c>
      <c r="N50">
        <v>33.954839999999997</v>
      </c>
      <c r="O50">
        <v>3.8300000000000001E-3</v>
      </c>
      <c r="P50">
        <v>2.8500000000000001E-3</v>
      </c>
      <c r="Q50">
        <v>9.1050000000000006E-2</v>
      </c>
      <c r="R50">
        <v>40</v>
      </c>
    </row>
    <row r="51" spans="1:21">
      <c r="A51">
        <v>295.25</v>
      </c>
      <c r="B51">
        <v>101580</v>
      </c>
      <c r="C51">
        <v>1.1985600000000001</v>
      </c>
      <c r="D51">
        <v>266.02638999999999</v>
      </c>
      <c r="E51">
        <v>0.28097</v>
      </c>
      <c r="F51">
        <v>1.0003599999999999</v>
      </c>
      <c r="G51">
        <v>1476.05844</v>
      </c>
      <c r="H51">
        <v>0.48338999999999999</v>
      </c>
      <c r="I51" s="2">
        <f t="shared" si="8"/>
        <v>0.28172028202352206</v>
      </c>
      <c r="J51" s="2">
        <f t="shared" si="9"/>
        <v>267.44904231165617</v>
      </c>
      <c r="K51">
        <v>0.61040000000000005</v>
      </c>
      <c r="L51">
        <v>0</v>
      </c>
      <c r="M51">
        <v>53.4</v>
      </c>
      <c r="N51">
        <v>70.995549999999994</v>
      </c>
      <c r="O51">
        <v>3.29E-3</v>
      </c>
      <c r="P51">
        <v>4.4200000000000003E-3</v>
      </c>
      <c r="Q51">
        <v>9.2910000000000006E-2</v>
      </c>
      <c r="R51">
        <v>30</v>
      </c>
    </row>
    <row r="52" spans="1:21">
      <c r="A52">
        <v>295.25</v>
      </c>
      <c r="B52">
        <v>101580</v>
      </c>
      <c r="C52">
        <v>1.1985600000000001</v>
      </c>
      <c r="D52">
        <v>248.41298</v>
      </c>
      <c r="E52">
        <v>0.33800000000000002</v>
      </c>
      <c r="F52">
        <v>1.0407500000000001</v>
      </c>
      <c r="G52">
        <v>1475.72478</v>
      </c>
      <c r="H52">
        <v>0.52205000000000001</v>
      </c>
      <c r="I52" s="2">
        <f t="shared" si="8"/>
        <v>0.33897919637833823</v>
      </c>
      <c r="J52" s="2">
        <f t="shared" si="9"/>
        <v>249.85438493843802</v>
      </c>
      <c r="K52">
        <v>0.60929999999999995</v>
      </c>
      <c r="L52">
        <v>0</v>
      </c>
      <c r="M52">
        <v>53.4</v>
      </c>
      <c r="N52">
        <v>103.10991</v>
      </c>
      <c r="O52">
        <v>3.8500000000000001E-3</v>
      </c>
      <c r="P52">
        <v>4.3899999999999998E-3</v>
      </c>
      <c r="Q52">
        <v>9.1179999999999997E-2</v>
      </c>
      <c r="R52">
        <v>20</v>
      </c>
    </row>
    <row r="53" spans="1:21">
      <c r="A53">
        <v>295.25</v>
      </c>
      <c r="B53">
        <v>101580</v>
      </c>
      <c r="C53">
        <v>1.1985600000000001</v>
      </c>
      <c r="D53">
        <v>232.90525</v>
      </c>
      <c r="E53">
        <v>0.37944</v>
      </c>
      <c r="F53">
        <v>1.0528999999999999</v>
      </c>
      <c r="G53">
        <v>1475.2108599999999</v>
      </c>
      <c r="H53">
        <v>0.54332000000000003</v>
      </c>
      <c r="I53" s="2">
        <f t="shared" si="8"/>
        <v>0.38067181799353078</v>
      </c>
      <c r="J53" s="2">
        <f t="shared" si="9"/>
        <v>234.41991672071183</v>
      </c>
      <c r="K53">
        <v>0.60860000000000003</v>
      </c>
      <c r="L53">
        <v>0</v>
      </c>
      <c r="M53">
        <v>53.4</v>
      </c>
      <c r="N53">
        <v>130.24132</v>
      </c>
      <c r="O53">
        <v>3.3800000000000002E-3</v>
      </c>
      <c r="P53">
        <v>6.9800000000000001E-3</v>
      </c>
      <c r="Q53">
        <v>9.3469999999999998E-2</v>
      </c>
      <c r="R53">
        <v>10</v>
      </c>
    </row>
    <row r="54" spans="1:21">
      <c r="A54">
        <v>295.25</v>
      </c>
      <c r="B54">
        <v>101580</v>
      </c>
      <c r="C54">
        <v>1.1985600000000001</v>
      </c>
      <c r="D54">
        <v>223.19904</v>
      </c>
      <c r="E54">
        <v>0.39968999999999999</v>
      </c>
      <c r="F54">
        <v>1.05057</v>
      </c>
      <c r="G54">
        <v>1475.71478</v>
      </c>
      <c r="H54">
        <v>0.54949000000000003</v>
      </c>
      <c r="I54" s="2">
        <f t="shared" si="8"/>
        <v>0.40085063049920799</v>
      </c>
      <c r="J54" s="2">
        <f t="shared" si="9"/>
        <v>224.49718473074276</v>
      </c>
      <c r="K54">
        <v>0.60829999999999995</v>
      </c>
      <c r="L54">
        <v>0</v>
      </c>
      <c r="M54">
        <v>53.4</v>
      </c>
      <c r="N54">
        <v>144.65877</v>
      </c>
      <c r="O54">
        <v>4.4299999999999999E-3</v>
      </c>
      <c r="P54">
        <v>9.5899999999999996E-3</v>
      </c>
      <c r="Q54">
        <v>0.09</v>
      </c>
      <c r="R54">
        <v>0</v>
      </c>
    </row>
    <row r="55" spans="1:21">
      <c r="A55">
        <v>295.25</v>
      </c>
      <c r="B55">
        <v>101580</v>
      </c>
      <c r="C55">
        <v>1.1985600000000001</v>
      </c>
      <c r="D55">
        <v>203.83519999999999</v>
      </c>
      <c r="E55">
        <v>0.43482999999999999</v>
      </c>
      <c r="F55">
        <v>1.0346900000000001</v>
      </c>
      <c r="G55">
        <v>1475.7271699999999</v>
      </c>
      <c r="H55">
        <v>0.55432000000000003</v>
      </c>
      <c r="I55" s="2">
        <f t="shared" si="8"/>
        <v>0.43608900959653679</v>
      </c>
      <c r="J55" s="2">
        <f t="shared" si="9"/>
        <v>205.01728034256232</v>
      </c>
      <c r="K55">
        <v>0.6079</v>
      </c>
      <c r="L55">
        <v>0</v>
      </c>
      <c r="M55">
        <v>53.4</v>
      </c>
      <c r="N55">
        <v>171.44028</v>
      </c>
      <c r="O55">
        <v>4.1200000000000004E-3</v>
      </c>
      <c r="P55">
        <v>7.2899999999999996E-3</v>
      </c>
      <c r="Q55">
        <v>8.7840000000000001E-2</v>
      </c>
      <c r="R55" t="s">
        <v>94</v>
      </c>
    </row>
    <row r="56" spans="1:21">
      <c r="A56">
        <v>295.25</v>
      </c>
      <c r="B56">
        <v>101580</v>
      </c>
      <c r="C56">
        <v>1.1985600000000001</v>
      </c>
      <c r="D56">
        <v>222.98811000000001</v>
      </c>
      <c r="E56">
        <v>0.39960000000000001</v>
      </c>
      <c r="F56">
        <v>1.0498700000000001</v>
      </c>
      <c r="G56">
        <v>1475.6811299999999</v>
      </c>
      <c r="H56">
        <v>0.54922000000000004</v>
      </c>
      <c r="I56" s="2">
        <f t="shared" si="8"/>
        <v>0.40076950770523173</v>
      </c>
      <c r="J56" s="2">
        <f t="shared" si="9"/>
        <v>224.29525681653658</v>
      </c>
      <c r="K56">
        <v>0.60829999999999995</v>
      </c>
      <c r="L56">
        <v>0</v>
      </c>
      <c r="M56">
        <v>53.4</v>
      </c>
      <c r="N56">
        <v>144.59280999999999</v>
      </c>
      <c r="O56">
        <v>4.2700000000000004E-3</v>
      </c>
      <c r="P56">
        <v>7.3299999999999997E-3</v>
      </c>
      <c r="Q56">
        <v>8.5199999999999998E-2</v>
      </c>
      <c r="R56">
        <v>0</v>
      </c>
      <c r="S56" t="s">
        <v>96</v>
      </c>
      <c r="T56" t="s">
        <v>97</v>
      </c>
      <c r="U56" s="1">
        <f>100*(H54-H56)/H54</f>
        <v>4.9136472001308933E-2</v>
      </c>
    </row>
    <row r="57" spans="1:21">
      <c r="I57" s="2"/>
      <c r="J57" s="2"/>
      <c r="R57" t="s">
        <v>95</v>
      </c>
    </row>
    <row r="58" spans="1:21">
      <c r="A58">
        <v>295.25</v>
      </c>
      <c r="B58">
        <v>101580</v>
      </c>
      <c r="C58">
        <v>1.1985600000000001</v>
      </c>
      <c r="D58">
        <v>217.46786</v>
      </c>
      <c r="E58">
        <v>3.5279999999999999E-2</v>
      </c>
      <c r="F58">
        <v>0.44544</v>
      </c>
      <c r="G58">
        <v>1354.37303</v>
      </c>
      <c r="H58">
        <v>0.12143</v>
      </c>
      <c r="I58" s="2">
        <f>E58*1350/G58</f>
        <v>3.5166087145134604E-2</v>
      </c>
      <c r="J58" s="2">
        <f>D58*(1350/G58)^2</f>
        <v>216.0657969638078</v>
      </c>
      <c r="K58">
        <v>0.64239999999999997</v>
      </c>
      <c r="L58">
        <v>0</v>
      </c>
      <c r="M58">
        <v>48.786409999999997</v>
      </c>
      <c r="N58">
        <v>1.0104</v>
      </c>
      <c r="O58">
        <v>3.9699999999999996E-3</v>
      </c>
      <c r="P58">
        <v>3.0300000000000001E-3</v>
      </c>
      <c r="Q58">
        <v>0.20102</v>
      </c>
      <c r="R58">
        <v>90</v>
      </c>
    </row>
    <row r="59" spans="1:21">
      <c r="A59">
        <v>295.25</v>
      </c>
      <c r="B59">
        <v>101580</v>
      </c>
      <c r="C59">
        <v>1.1985600000000001</v>
      </c>
      <c r="D59">
        <v>221.30933999999999</v>
      </c>
      <c r="E59">
        <v>6.837E-2</v>
      </c>
      <c r="F59">
        <v>0.54878000000000005</v>
      </c>
      <c r="G59">
        <v>1352.9990600000001</v>
      </c>
      <c r="H59">
        <v>0.19459000000000001</v>
      </c>
      <c r="I59" s="2">
        <f t="shared" ref="I59:I67" si="10">E59*1350/G59</f>
        <v>6.8218450942604494E-2</v>
      </c>
      <c r="J59" s="2">
        <f t="shared" ref="J59:J67" si="11">D59*(1350/G59)^2</f>
        <v>220.32931805113586</v>
      </c>
      <c r="K59">
        <v>0.62490000000000001</v>
      </c>
      <c r="L59">
        <v>0</v>
      </c>
      <c r="M59">
        <v>48.786409999999997</v>
      </c>
      <c r="N59">
        <v>4.0107400000000002</v>
      </c>
      <c r="O59">
        <v>3.9199999999999999E-3</v>
      </c>
      <c r="P59">
        <v>3.0000000000000001E-3</v>
      </c>
      <c r="Q59">
        <v>0.15595999999999999</v>
      </c>
      <c r="R59">
        <v>60</v>
      </c>
    </row>
    <row r="60" spans="1:21">
      <c r="A60">
        <v>295.25</v>
      </c>
      <c r="B60">
        <v>101580</v>
      </c>
      <c r="C60">
        <v>1.1985600000000001</v>
      </c>
      <c r="D60">
        <v>223.59802999999999</v>
      </c>
      <c r="E60">
        <v>0.10487</v>
      </c>
      <c r="F60">
        <v>0.62404000000000004</v>
      </c>
      <c r="G60">
        <v>1352.0417399999999</v>
      </c>
      <c r="H60">
        <v>0.26539000000000001</v>
      </c>
      <c r="I60" s="2">
        <f t="shared" si="10"/>
        <v>0.10471163412455003</v>
      </c>
      <c r="J60" s="2">
        <f t="shared" si="11"/>
        <v>222.92322193402413</v>
      </c>
      <c r="K60">
        <v>0.61909999999999998</v>
      </c>
      <c r="L60">
        <v>0</v>
      </c>
      <c r="M60">
        <v>48.786409999999997</v>
      </c>
      <c r="N60">
        <v>9.6136499999999998</v>
      </c>
      <c r="O60">
        <v>3.5500000000000002E-3</v>
      </c>
      <c r="P60">
        <v>3.0100000000000001E-3</v>
      </c>
      <c r="Q60">
        <v>0.12759999999999999</v>
      </c>
      <c r="R60">
        <v>50</v>
      </c>
    </row>
    <row r="61" spans="1:21">
      <c r="A61">
        <v>295.25</v>
      </c>
      <c r="B61">
        <v>101580</v>
      </c>
      <c r="C61">
        <v>1.1985600000000001</v>
      </c>
      <c r="D61">
        <v>229.60947999999999</v>
      </c>
      <c r="E61">
        <v>0.18003</v>
      </c>
      <c r="F61">
        <v>0.76105</v>
      </c>
      <c r="G61">
        <v>1350.2695799999999</v>
      </c>
      <c r="H61">
        <v>0.38413000000000003</v>
      </c>
      <c r="I61" s="2">
        <f t="shared" si="10"/>
        <v>0.17999405718671377</v>
      </c>
      <c r="J61" s="2">
        <f t="shared" si="11"/>
        <v>229.51780653629285</v>
      </c>
      <c r="K61">
        <v>0.61370000000000002</v>
      </c>
      <c r="L61">
        <v>0</v>
      </c>
      <c r="M61">
        <v>48.786409999999997</v>
      </c>
      <c r="N61">
        <v>28.835629999999998</v>
      </c>
      <c r="O61">
        <v>3.4399999999999999E-3</v>
      </c>
      <c r="P61">
        <v>3.4199999999999999E-3</v>
      </c>
      <c r="Q61">
        <v>0.1186</v>
      </c>
      <c r="R61">
        <v>40</v>
      </c>
    </row>
    <row r="62" spans="1:21">
      <c r="A62">
        <v>295.25</v>
      </c>
      <c r="B62">
        <v>101580</v>
      </c>
      <c r="C62">
        <v>1.1985600000000001</v>
      </c>
      <c r="D62">
        <v>222.58024</v>
      </c>
      <c r="E62">
        <v>0.25203999999999999</v>
      </c>
      <c r="F62">
        <v>0.8488</v>
      </c>
      <c r="G62">
        <v>1349.0778700000001</v>
      </c>
      <c r="H62">
        <v>0.46782000000000001</v>
      </c>
      <c r="I62" s="2">
        <f t="shared" si="10"/>
        <v>0.25221227593037304</v>
      </c>
      <c r="J62" s="2">
        <f t="shared" si="11"/>
        <v>222.884622819459</v>
      </c>
      <c r="K62">
        <v>0.61109999999999998</v>
      </c>
      <c r="L62">
        <v>0</v>
      </c>
      <c r="M62">
        <v>48.786409999999997</v>
      </c>
      <c r="N62">
        <v>56.994039999999998</v>
      </c>
      <c r="O62">
        <v>3.3800000000000002E-3</v>
      </c>
      <c r="P62">
        <v>3.5100000000000001E-3</v>
      </c>
      <c r="Q62">
        <v>0.10716000000000001</v>
      </c>
      <c r="R62">
        <v>30</v>
      </c>
    </row>
    <row r="63" spans="1:21">
      <c r="A63">
        <v>295.25</v>
      </c>
      <c r="B63">
        <v>101580</v>
      </c>
      <c r="C63">
        <v>1.1985600000000001</v>
      </c>
      <c r="D63">
        <v>206.60433</v>
      </c>
      <c r="E63">
        <v>0.3105</v>
      </c>
      <c r="F63">
        <v>0.88665000000000005</v>
      </c>
      <c r="G63">
        <v>1348.5038</v>
      </c>
      <c r="H63">
        <v>0.51236000000000004</v>
      </c>
      <c r="I63" s="2">
        <f t="shared" si="10"/>
        <v>0.31084450781673734</v>
      </c>
      <c r="J63" s="2">
        <f t="shared" si="11"/>
        <v>207.06305008318745</v>
      </c>
      <c r="K63">
        <v>0.60980000000000001</v>
      </c>
      <c r="L63">
        <v>0</v>
      </c>
      <c r="M63">
        <v>48.786409999999997</v>
      </c>
      <c r="N63">
        <v>86.872879999999995</v>
      </c>
      <c r="O63">
        <v>3.3E-3</v>
      </c>
      <c r="P63">
        <v>4.8599999999999997E-3</v>
      </c>
      <c r="Q63">
        <v>0.10219</v>
      </c>
      <c r="R63">
        <v>20</v>
      </c>
    </row>
    <row r="64" spans="1:21">
      <c r="A64">
        <v>295.25</v>
      </c>
      <c r="B64">
        <v>101580</v>
      </c>
      <c r="C64">
        <v>1.1985600000000001</v>
      </c>
      <c r="D64">
        <v>194.59049999999999</v>
      </c>
      <c r="E64">
        <v>0.34490999999999999</v>
      </c>
      <c r="F64">
        <v>0.89441999999999999</v>
      </c>
      <c r="G64">
        <v>1348.5232000000001</v>
      </c>
      <c r="H64">
        <v>0.53137000000000001</v>
      </c>
      <c r="I64" s="2">
        <f t="shared" si="10"/>
        <v>0.34528771918792345</v>
      </c>
      <c r="J64" s="2">
        <f t="shared" si="11"/>
        <v>195.01693479024127</v>
      </c>
      <c r="K64">
        <v>0.60909999999999997</v>
      </c>
      <c r="L64">
        <v>0</v>
      </c>
      <c r="M64">
        <v>48.786409999999997</v>
      </c>
      <c r="N64">
        <v>107.43956</v>
      </c>
      <c r="O64">
        <v>3.5300000000000002E-3</v>
      </c>
      <c r="P64">
        <v>7.9600000000000001E-3</v>
      </c>
      <c r="Q64">
        <v>0.10333000000000001</v>
      </c>
      <c r="R64">
        <v>10</v>
      </c>
    </row>
    <row r="65" spans="1:21">
      <c r="A65">
        <v>295.25</v>
      </c>
      <c r="B65">
        <v>101580</v>
      </c>
      <c r="C65">
        <v>1.1985600000000001</v>
      </c>
      <c r="D65">
        <v>185.72363000000001</v>
      </c>
      <c r="E65">
        <v>0.36504999999999999</v>
      </c>
      <c r="F65">
        <v>0.89324999999999999</v>
      </c>
      <c r="G65">
        <v>1348.45391</v>
      </c>
      <c r="H65">
        <v>0.53749999999999998</v>
      </c>
      <c r="I65" s="2">
        <f t="shared" si="10"/>
        <v>0.36546855353773272</v>
      </c>
      <c r="J65" s="2">
        <f t="shared" si="11"/>
        <v>186.14976256623709</v>
      </c>
      <c r="K65">
        <v>0.60880000000000001</v>
      </c>
      <c r="L65">
        <v>0</v>
      </c>
      <c r="M65">
        <v>48.786409999999997</v>
      </c>
      <c r="N65">
        <v>120.46924</v>
      </c>
      <c r="O65">
        <v>3.9100000000000003E-3</v>
      </c>
      <c r="P65">
        <v>5.5500000000000002E-3</v>
      </c>
      <c r="Q65">
        <v>0.10427</v>
      </c>
      <c r="R65">
        <v>0</v>
      </c>
    </row>
    <row r="66" spans="1:21">
      <c r="A66">
        <v>295.25</v>
      </c>
      <c r="B66">
        <v>101580</v>
      </c>
      <c r="C66">
        <v>1.1985600000000001</v>
      </c>
      <c r="D66">
        <v>169.84336999999999</v>
      </c>
      <c r="E66">
        <v>0.39717000000000002</v>
      </c>
      <c r="F66">
        <v>0.88009999999999999</v>
      </c>
      <c r="G66">
        <v>1348.5949499999999</v>
      </c>
      <c r="H66">
        <v>0.54271999999999998</v>
      </c>
      <c r="I66" s="2">
        <f t="shared" si="10"/>
        <v>0.39758379638007696</v>
      </c>
      <c r="J66" s="2">
        <f t="shared" si="11"/>
        <v>170.19746110969581</v>
      </c>
      <c r="K66">
        <v>0.60829999999999995</v>
      </c>
      <c r="L66">
        <v>0</v>
      </c>
      <c r="M66">
        <v>48.786409999999997</v>
      </c>
      <c r="N66">
        <v>142.83572000000001</v>
      </c>
      <c r="O66">
        <v>3.5000000000000001E-3</v>
      </c>
      <c r="P66">
        <v>4.81E-3</v>
      </c>
      <c r="Q66">
        <v>0.10989</v>
      </c>
      <c r="R66" t="s">
        <v>94</v>
      </c>
    </row>
    <row r="67" spans="1:21">
      <c r="A67">
        <v>295.25</v>
      </c>
      <c r="B67">
        <v>101580</v>
      </c>
      <c r="C67">
        <v>1.1985600000000001</v>
      </c>
      <c r="D67">
        <v>185.93669</v>
      </c>
      <c r="E67">
        <v>0.36530000000000001</v>
      </c>
      <c r="F67">
        <v>0.89402999999999999</v>
      </c>
      <c r="G67">
        <v>1348.46255</v>
      </c>
      <c r="H67">
        <v>0.53802000000000005</v>
      </c>
      <c r="I67" s="2">
        <f t="shared" si="10"/>
        <v>0.36571649690975849</v>
      </c>
      <c r="J67" s="2">
        <f t="shared" si="11"/>
        <v>186.36092325808053</v>
      </c>
      <c r="K67">
        <v>0.60880000000000001</v>
      </c>
      <c r="L67">
        <v>0</v>
      </c>
      <c r="M67">
        <v>48.786409999999997</v>
      </c>
      <c r="N67">
        <v>120.63949</v>
      </c>
      <c r="O67">
        <v>3.96E-3</v>
      </c>
      <c r="P67">
        <v>6.1700000000000001E-3</v>
      </c>
      <c r="Q67">
        <v>0.10446</v>
      </c>
      <c r="R67">
        <v>0</v>
      </c>
      <c r="S67" t="s">
        <v>96</v>
      </c>
      <c r="T67" t="s">
        <v>97</v>
      </c>
      <c r="U67" s="1">
        <f>100*(H65-H67)/H65</f>
        <v>-9.6744186046525765E-2</v>
      </c>
    </row>
    <row r="68" spans="1:2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S68" s="1"/>
    </row>
  </sheetData>
  <pageMargins left="0.7" right="0.7" top="3.54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66"/>
  <sheetViews>
    <sheetView topLeftCell="C4" zoomScale="55" zoomScaleNormal="55" workbookViewId="0">
      <selection activeCell="Y45" sqref="Y45"/>
    </sheetView>
  </sheetViews>
  <sheetFormatPr baseColWidth="10" defaultRowHeight="15"/>
  <sheetData>
    <row r="1" spans="1:28" ht="15.75" thickBot="1">
      <c r="K1" t="s">
        <v>14</v>
      </c>
      <c r="O1" t="s">
        <v>15</v>
      </c>
      <c r="S1" t="s">
        <v>16</v>
      </c>
      <c r="W1" t="s">
        <v>17</v>
      </c>
      <c r="AB1" t="s">
        <v>18</v>
      </c>
    </row>
    <row r="2" spans="1:28" ht="15.75" thickBot="1">
      <c r="B2" s="3" t="s">
        <v>19</v>
      </c>
      <c r="C2" s="4" t="s">
        <v>20</v>
      </c>
      <c r="D2" s="4"/>
      <c r="E2" s="4" t="s">
        <v>21</v>
      </c>
      <c r="F2" s="4" t="s">
        <v>22</v>
      </c>
      <c r="H2" s="5"/>
      <c r="I2" s="5"/>
      <c r="J2" s="5"/>
      <c r="K2" s="5" t="s">
        <v>23</v>
      </c>
      <c r="L2" s="5" t="s">
        <v>24</v>
      </c>
      <c r="M2" s="5" t="s">
        <v>25</v>
      </c>
      <c r="O2" s="5" t="s">
        <v>26</v>
      </c>
      <c r="P2" s="5" t="s">
        <v>27</v>
      </c>
      <c r="Q2" s="5" t="s">
        <v>28</v>
      </c>
      <c r="S2" s="5" t="s">
        <v>29</v>
      </c>
      <c r="T2" s="5" t="s">
        <v>30</v>
      </c>
      <c r="U2" s="5" t="s">
        <v>31</v>
      </c>
      <c r="W2" s="5" t="s">
        <v>32</v>
      </c>
      <c r="X2" s="5" t="s">
        <v>33</v>
      </c>
      <c r="Y2" s="5" t="s">
        <v>34</v>
      </c>
      <c r="Z2" s="5" t="s">
        <v>35</v>
      </c>
      <c r="AB2" s="5" t="s">
        <v>36</v>
      </c>
    </row>
    <row r="3" spans="1:28">
      <c r="A3" t="s">
        <v>37</v>
      </c>
      <c r="E3">
        <v>0.02</v>
      </c>
      <c r="F3" t="s">
        <v>38</v>
      </c>
      <c r="K3">
        <v>0.12387423591012164</v>
      </c>
      <c r="L3">
        <v>2.2665187503046527</v>
      </c>
      <c r="M3">
        <v>0.5828495074652793</v>
      </c>
      <c r="O3">
        <f>($B$49^2+$B$51^2+K3^2)^0.5</f>
        <v>0.61986439349450984</v>
      </c>
      <c r="P3">
        <f>($B$50^2+$B$52^2+L3^2)^0.5</f>
        <v>2.3464855178505926</v>
      </c>
      <c r="Q3">
        <f>($B$54^2+$B$55^2+M3^2)^0.5</f>
        <v>0.62427041284408047</v>
      </c>
      <c r="S3">
        <v>3.6940462715022932E-3</v>
      </c>
      <c r="T3">
        <v>1.7602502367561265E-3</v>
      </c>
      <c r="U3">
        <v>0.11434188861858106</v>
      </c>
      <c r="W3">
        <f t="shared" ref="W3:W11" si="0">(O3^2+S3^2)^0.5</f>
        <v>0.6198754006251358</v>
      </c>
      <c r="X3">
        <f>($B$53^2+  (2*$E$13^2/(1-$E$13^4))^2*$B$48^2 + (2/(1-$E$13^4))^2*$B$47^2 + 0.25*$B$46^2 + 0.25*$P3^2 +$T3^2)^0.5</f>
        <v>1.3658429125325611</v>
      </c>
      <c r="Y3">
        <f>(Q3^2+U3^2)^0.5</f>
        <v>0.63465550958404404</v>
      </c>
      <c r="Z3">
        <f>0.00000776/(60/Test!G3)*100</f>
        <v>2.6774775881333333E-2</v>
      </c>
      <c r="AB3">
        <f>(W3^2+X3^2+Y3^2+Z3^2)^0.5</f>
        <v>1.6288882338836144</v>
      </c>
    </row>
    <row r="4" spans="1:28">
      <c r="A4" t="s">
        <v>39</v>
      </c>
      <c r="E4" s="6">
        <f>+E3/(PI()*(E12/2)^2)</f>
        <v>0.28294212105225836</v>
      </c>
      <c r="F4" t="s">
        <v>40</v>
      </c>
      <c r="K4">
        <v>0.12345176989188075</v>
      </c>
      <c r="L4">
        <v>2.0001746305143775</v>
      </c>
      <c r="M4">
        <v>0.49380879193078819</v>
      </c>
      <c r="O4">
        <f t="shared" ref="O4:O66" si="1">($B$49^2+$B$51^2+K4^2)^0.5</f>
        <v>0.61978010575480547</v>
      </c>
      <c r="P4">
        <f t="shared" ref="P4:P66" si="2">($B$50^2+$B$52^2+L4^2)^0.5</f>
        <v>2.0903553747038628</v>
      </c>
      <c r="Q4">
        <f t="shared" ref="Q4:Q66" si="3">($B$54^2+$B$55^2+M4^2)^0.5</f>
        <v>0.54207667629971357</v>
      </c>
      <c r="S4">
        <v>3.7870172347112441E-3</v>
      </c>
      <c r="T4">
        <v>1.7912405578257768E-3</v>
      </c>
      <c r="U4">
        <v>0.12163081213416277</v>
      </c>
      <c r="W4">
        <f t="shared" si="0"/>
        <v>0.61979167547569869</v>
      </c>
      <c r="X4">
        <f t="shared" ref="X4:X22" si="4">($B$53^2+  (2*$E$13^2/(1-$E$13^4))^2*$B$48^2 + (2/(1-$E$13^4))^2*$B$47^2 + 0.25*$B$46^2 + 0.25*$P4^2 +T4^2)^0.5</f>
        <v>1.2575471357149839</v>
      </c>
      <c r="Y4">
        <f t="shared" ref="Y4:Y66" si="5">(Q4^2+U4^2)^0.5</f>
        <v>0.55555483748101808</v>
      </c>
      <c r="Z4">
        <f>0.00000776/(60/Test!G4)*100</f>
        <v>2.6689115181333333E-2</v>
      </c>
      <c r="AB4">
        <f t="shared" ref="AB4:AB66" si="6">(W4^2+X4^2+Y4^2+Z4^2)^0.5</f>
        <v>1.5082837948647652</v>
      </c>
    </row>
    <row r="5" spans="1:28">
      <c r="A5" t="s">
        <v>41</v>
      </c>
      <c r="E5" s="6">
        <f>+E3/(PI()*(E9/2)^2)</f>
        <v>0.55088785061553824</v>
      </c>
      <c r="F5" t="s">
        <v>40</v>
      </c>
      <c r="K5">
        <v>0.1230178030196976</v>
      </c>
      <c r="L5">
        <v>1.2927267916729273</v>
      </c>
      <c r="M5">
        <v>0.43354126369821655</v>
      </c>
      <c r="O5">
        <f t="shared" si="1"/>
        <v>0.61969381137767798</v>
      </c>
      <c r="P5">
        <f t="shared" si="2"/>
        <v>1.428296047011606</v>
      </c>
      <c r="Q5">
        <f t="shared" si="3"/>
        <v>0.4878094170155457</v>
      </c>
      <c r="S5">
        <v>2.9068921163331804E-3</v>
      </c>
      <c r="T5">
        <v>2.0453611905969075E-3</v>
      </c>
      <c r="U5">
        <v>0.13667971204558485</v>
      </c>
      <c r="W5">
        <f t="shared" si="0"/>
        <v>0.61970062924090141</v>
      </c>
      <c r="X5">
        <f t="shared" si="4"/>
        <v>0.99951827139054217</v>
      </c>
      <c r="Y5">
        <f t="shared" si="5"/>
        <v>0.50659586557127623</v>
      </c>
      <c r="Z5">
        <f>0.00000776/(60/Test!G5)*100</f>
        <v>2.6586765954666667E-2</v>
      </c>
      <c r="AB5">
        <f t="shared" si="6"/>
        <v>1.2807856463370229</v>
      </c>
    </row>
    <row r="6" spans="1:28">
      <c r="A6" t="s">
        <v>42</v>
      </c>
      <c r="E6" s="7">
        <f>1.79/100000</f>
        <v>1.7900000000000001E-5</v>
      </c>
      <c r="F6" t="s">
        <v>43</v>
      </c>
      <c r="K6">
        <v>0.12258021221884854</v>
      </c>
      <c r="L6">
        <v>0.81131758596484782</v>
      </c>
      <c r="M6">
        <v>0.41157295211972134</v>
      </c>
      <c r="O6">
        <f t="shared" si="1"/>
        <v>0.61960709197653474</v>
      </c>
      <c r="P6">
        <f t="shared" si="2"/>
        <v>1.0134709000735187</v>
      </c>
      <c r="Q6">
        <f t="shared" si="3"/>
        <v>0.46839331220304847</v>
      </c>
      <c r="S6">
        <v>2.9006940521192509E-3</v>
      </c>
      <c r="T6">
        <v>2.0949457043083482E-3</v>
      </c>
      <c r="U6">
        <v>0.13468393536869941</v>
      </c>
      <c r="W6">
        <f t="shared" si="0"/>
        <v>0.61961388174701348</v>
      </c>
      <c r="X6">
        <f t="shared" si="4"/>
        <v>0.86360314785516712</v>
      </c>
      <c r="Y6">
        <f t="shared" si="5"/>
        <v>0.48737260629106194</v>
      </c>
      <c r="Z6">
        <f>0.00000776/(60/Test!G6)*100</f>
        <v>2.6517420266666661E-2</v>
      </c>
      <c r="AB6">
        <f t="shared" si="6"/>
        <v>1.1696012099769295</v>
      </c>
    </row>
    <row r="7" spans="1:28">
      <c r="A7" t="s">
        <v>44</v>
      </c>
      <c r="E7" s="8">
        <f>+E6/E11</f>
        <v>1.4854771784232365E-5</v>
      </c>
      <c r="F7" t="s">
        <v>45</v>
      </c>
      <c r="K7">
        <v>0.12385295058642448</v>
      </c>
      <c r="L7">
        <v>0.2627694912783905</v>
      </c>
      <c r="M7">
        <v>0.39435134769254876</v>
      </c>
      <c r="O7">
        <f t="shared" si="1"/>
        <v>0.6198601401678957</v>
      </c>
      <c r="P7">
        <f t="shared" si="2"/>
        <v>0.66176645846303217</v>
      </c>
      <c r="Q7">
        <f t="shared" si="3"/>
        <v>0.45333540058871369</v>
      </c>
      <c r="S7">
        <v>3.2973701618107727E-3</v>
      </c>
      <c r="T7">
        <v>4.9832436279997391E-3</v>
      </c>
      <c r="U7">
        <v>0.15103442876504683</v>
      </c>
      <c r="W7">
        <f t="shared" si="0"/>
        <v>0.61986891035036373</v>
      </c>
      <c r="X7">
        <f t="shared" si="4"/>
        <v>0.77364962093161049</v>
      </c>
      <c r="Y7">
        <f t="shared" si="5"/>
        <v>0.47783300859119548</v>
      </c>
      <c r="Z7">
        <f>0.00000776/(60/Test!G7)*100</f>
        <v>2.6408364589333336E-2</v>
      </c>
      <c r="AB7">
        <f t="shared" si="6"/>
        <v>1.1008146927644855</v>
      </c>
    </row>
    <row r="8" spans="1:28">
      <c r="A8" t="s">
        <v>46</v>
      </c>
      <c r="E8" s="8">
        <f>+E4*E12/E7</f>
        <v>5714.1662994632061</v>
      </c>
      <c r="K8">
        <v>0.12691934630459914</v>
      </c>
      <c r="L8">
        <v>0.17459706255746762</v>
      </c>
      <c r="M8">
        <v>0.39233166862367541</v>
      </c>
      <c r="O8">
        <f t="shared" si="1"/>
        <v>0.6204801048110945</v>
      </c>
      <c r="P8">
        <f t="shared" si="2"/>
        <v>0.63195820609728326</v>
      </c>
      <c r="Q8">
        <f t="shared" si="3"/>
        <v>0.45157960339793635</v>
      </c>
      <c r="S8">
        <v>3.2043991986018218E-3</v>
      </c>
      <c r="T8">
        <v>6.2848371129250432E-3</v>
      </c>
      <c r="U8">
        <v>0.15420163957836505</v>
      </c>
      <c r="W8">
        <f t="shared" si="0"/>
        <v>0.62048837913421939</v>
      </c>
      <c r="X8">
        <f t="shared" si="4"/>
        <v>0.76740307831338062</v>
      </c>
      <c r="Y8">
        <f t="shared" si="5"/>
        <v>0.47718160468913035</v>
      </c>
      <c r="Z8">
        <f>0.00000776/(60/Test!G8)*100</f>
        <v>2.6383785953333336E-2</v>
      </c>
      <c r="AB8">
        <f t="shared" si="6"/>
        <v>1.0964997497767102</v>
      </c>
    </row>
    <row r="9" spans="1:28">
      <c r="A9" t="s">
        <v>47</v>
      </c>
      <c r="D9" t="s">
        <v>48</v>
      </c>
      <c r="E9">
        <v>0.215</v>
      </c>
      <c r="F9" t="s">
        <v>49</v>
      </c>
      <c r="K9">
        <v>0.1325156663935976</v>
      </c>
      <c r="L9">
        <v>0.13282795347934198</v>
      </c>
      <c r="M9">
        <v>0.39162824389327527</v>
      </c>
      <c r="O9">
        <f t="shared" si="1"/>
        <v>0.62164896994987395</v>
      </c>
      <c r="P9">
        <f t="shared" si="2"/>
        <v>0.62171561442954792</v>
      </c>
      <c r="Q9">
        <f t="shared" si="3"/>
        <v>0.45096860358003943</v>
      </c>
      <c r="S9">
        <v>3.4957082166565336E-3</v>
      </c>
      <c r="T9">
        <v>6.2972332413529031E-3</v>
      </c>
      <c r="U9">
        <v>0.14438390586349986</v>
      </c>
      <c r="W9">
        <f t="shared" si="0"/>
        <v>0.62165879855084116</v>
      </c>
      <c r="X9">
        <f t="shared" si="4"/>
        <v>0.76530871112039889</v>
      </c>
      <c r="Y9">
        <f t="shared" si="5"/>
        <v>0.47351810280846784</v>
      </c>
      <c r="Z9">
        <f>0.00000776/(60/Test!G9)*100</f>
        <v>2.6370782780000001E-2</v>
      </c>
      <c r="AB9">
        <f t="shared" si="6"/>
        <v>1.0941078086752705</v>
      </c>
    </row>
    <row r="10" spans="1:28">
      <c r="A10" t="s">
        <v>50</v>
      </c>
      <c r="E10" s="9">
        <v>500</v>
      </c>
      <c r="F10" t="s">
        <v>51</v>
      </c>
      <c r="K10">
        <v>0.13884557044085183</v>
      </c>
      <c r="L10">
        <v>0.11950794748745525</v>
      </c>
      <c r="M10">
        <v>0.39179606701738001</v>
      </c>
      <c r="O10">
        <f t="shared" si="1"/>
        <v>0.62302899806593715</v>
      </c>
      <c r="P10">
        <f t="shared" si="2"/>
        <v>0.61900661507989108</v>
      </c>
      <c r="Q10">
        <f t="shared" si="3"/>
        <v>0.45111435150113255</v>
      </c>
      <c r="S10">
        <v>2.7953269604824404E-3</v>
      </c>
      <c r="T10">
        <v>6.0864990580792831E-3</v>
      </c>
      <c r="U10">
        <v>0.14277860723209201</v>
      </c>
      <c r="W10">
        <f t="shared" si="0"/>
        <v>0.62303526889242922</v>
      </c>
      <c r="X10">
        <f t="shared" si="4"/>
        <v>0.76475782749367305</v>
      </c>
      <c r="Y10">
        <f t="shared" si="5"/>
        <v>0.47317004217661895</v>
      </c>
      <c r="Z10">
        <f>0.00000776/(60/Test!G10)*100</f>
        <v>2.637358905466667E-2</v>
      </c>
      <c r="AB10">
        <f t="shared" si="6"/>
        <v>1.0943550319753419</v>
      </c>
    </row>
    <row r="11" spans="1:28">
      <c r="A11" t="s">
        <v>52</v>
      </c>
      <c r="E11" s="10">
        <v>1.2050000000000001</v>
      </c>
      <c r="F11" t="s">
        <v>53</v>
      </c>
      <c r="K11">
        <v>0.15111911870541617</v>
      </c>
      <c r="L11">
        <v>0.11168824974873537</v>
      </c>
      <c r="M11">
        <v>0.39250633833870391</v>
      </c>
      <c r="O11">
        <f t="shared" si="1"/>
        <v>0.6258786048734224</v>
      </c>
      <c r="P11">
        <f t="shared" si="2"/>
        <v>0.61754457744517188</v>
      </c>
      <c r="Q11">
        <f t="shared" si="3"/>
        <v>0.45173136445907441</v>
      </c>
      <c r="S11">
        <v>3.458519831372952E-3</v>
      </c>
      <c r="T11">
        <v>8.342594431949811E-3</v>
      </c>
      <c r="U11">
        <v>0.1345847663412765</v>
      </c>
      <c r="W11">
        <f t="shared" si="0"/>
        <v>0.62588816045498541</v>
      </c>
      <c r="X11">
        <f t="shared" si="4"/>
        <v>0.76448356230119985</v>
      </c>
      <c r="Y11">
        <f t="shared" si="5"/>
        <v>0.47135367291153368</v>
      </c>
      <c r="Z11">
        <f>0.00000776/(60/Test!G11)*100</f>
        <v>2.6382846087999998E-2</v>
      </c>
      <c r="AB11">
        <f t="shared" si="6"/>
        <v>1.0950075095456444</v>
      </c>
    </row>
    <row r="12" spans="1:28">
      <c r="A12" t="s">
        <v>54</v>
      </c>
      <c r="D12" t="s">
        <v>55</v>
      </c>
      <c r="E12">
        <v>0.3</v>
      </c>
      <c r="F12" t="s">
        <v>49</v>
      </c>
    </row>
    <row r="13" spans="1:28">
      <c r="A13" t="s">
        <v>56</v>
      </c>
      <c r="E13" s="11">
        <f>+E9/E12</f>
        <v>0.71666666666666667</v>
      </c>
    </row>
    <row r="14" spans="1:28">
      <c r="A14" s="12" t="s">
        <v>57</v>
      </c>
      <c r="B14" s="12"/>
      <c r="C14" s="12"/>
      <c r="D14" s="12"/>
      <c r="E14" s="13">
        <v>0</v>
      </c>
      <c r="F14" s="12" t="s">
        <v>49</v>
      </c>
      <c r="K14">
        <v>0.13255028581919087</v>
      </c>
      <c r="L14">
        <v>2.2690794425098595</v>
      </c>
      <c r="M14">
        <v>0.62927875728886407</v>
      </c>
      <c r="O14">
        <f t="shared" si="1"/>
        <v>0.62165635062367797</v>
      </c>
      <c r="P14">
        <f t="shared" si="2"/>
        <v>2.3489590367694482</v>
      </c>
      <c r="Q14">
        <f t="shared" si="3"/>
        <v>0.66782614082934566</v>
      </c>
      <c r="S14">
        <v>2.59698890563668E-3</v>
      </c>
      <c r="T14">
        <v>1.6920715304028959E-3</v>
      </c>
      <c r="U14">
        <v>0.11873011808204352</v>
      </c>
      <c r="W14">
        <f t="shared" ref="W14:W22" si="7">(O14^2+S14^2)^0.5</f>
        <v>0.62166177510132081</v>
      </c>
      <c r="X14">
        <f t="shared" si="4"/>
        <v>1.3669053347160403</v>
      </c>
      <c r="Y14">
        <f t="shared" si="5"/>
        <v>0.67829830850061323</v>
      </c>
      <c r="Z14">
        <f>0.00000776/(60/Test!G14)*100</f>
        <v>2.5196192449333337E-2</v>
      </c>
      <c r="AB14">
        <f t="shared" si="6"/>
        <v>1.6479129224950062</v>
      </c>
    </row>
    <row r="15" spans="1:28">
      <c r="A15" s="12" t="s">
        <v>58</v>
      </c>
      <c r="B15" s="12"/>
      <c r="C15" s="12"/>
      <c r="D15" s="12"/>
      <c r="E15" s="14">
        <v>0</v>
      </c>
      <c r="F15" s="15" t="s">
        <v>49</v>
      </c>
      <c r="K15">
        <v>0.13125260030575714</v>
      </c>
      <c r="L15">
        <v>2.039485963865161</v>
      </c>
      <c r="M15">
        <v>0.53630555053675666</v>
      </c>
      <c r="O15">
        <f t="shared" si="1"/>
        <v>0.62138095005159499</v>
      </c>
      <c r="P15">
        <f t="shared" si="2"/>
        <v>2.1280014184212859</v>
      </c>
      <c r="Q15">
        <f t="shared" si="3"/>
        <v>0.58105390759940134</v>
      </c>
      <c r="S15">
        <v>3.1982011343878918E-3</v>
      </c>
      <c r="T15">
        <v>1.6548831451193161E-3</v>
      </c>
      <c r="U15">
        <v>0.14689412187014153</v>
      </c>
      <c r="W15">
        <f t="shared" si="7"/>
        <v>0.62138918044774383</v>
      </c>
      <c r="X15">
        <f t="shared" si="4"/>
        <v>1.2732342438463033</v>
      </c>
      <c r="Y15">
        <f t="shared" si="5"/>
        <v>0.59933423611248304</v>
      </c>
      <c r="Z15">
        <f>0.00000776/(60/Test!G15)*100</f>
        <v>2.5133047001333335E-2</v>
      </c>
      <c r="AB15">
        <f t="shared" si="6"/>
        <v>1.5385327913010147</v>
      </c>
    </row>
    <row r="16" spans="1:28">
      <c r="A16" s="16" t="s">
        <v>59</v>
      </c>
      <c r="B16" s="17"/>
      <c r="C16" s="17"/>
      <c r="D16" s="17"/>
      <c r="E16" s="17">
        <v>100000</v>
      </c>
      <c r="F16" s="18" t="s">
        <v>51</v>
      </c>
      <c r="K16">
        <v>0.13020169073199989</v>
      </c>
      <c r="L16">
        <v>1.5182699947462011</v>
      </c>
      <c r="M16">
        <v>0.47253017269283043</v>
      </c>
      <c r="O16">
        <f t="shared" si="1"/>
        <v>0.6211598186211591</v>
      </c>
      <c r="P16">
        <f t="shared" si="2"/>
        <v>1.6352464086328486</v>
      </c>
      <c r="Q16">
        <f t="shared" si="3"/>
        <v>0.52276645273498201</v>
      </c>
      <c r="S16">
        <v>3.5762830514376228E-3</v>
      </c>
      <c r="T16">
        <v>2.1073418327362072E-3</v>
      </c>
      <c r="U16">
        <v>0.13261378192124679</v>
      </c>
      <c r="W16">
        <f t="shared" si="7"/>
        <v>0.62117011363227648</v>
      </c>
      <c r="X16">
        <f t="shared" si="4"/>
        <v>1.0758890913984349</v>
      </c>
      <c r="Y16">
        <f t="shared" si="5"/>
        <v>0.53932474378668382</v>
      </c>
      <c r="Z16">
        <f>0.00000776/(60/Test!G16)*100</f>
        <v>2.5069865728000001E-2</v>
      </c>
      <c r="AB16">
        <f t="shared" si="6"/>
        <v>1.3545808667216133</v>
      </c>
    </row>
    <row r="17" spans="1:28">
      <c r="A17" s="19" t="s">
        <v>60</v>
      </c>
      <c r="B17" s="12"/>
      <c r="C17" s="12"/>
      <c r="D17" s="12"/>
      <c r="E17" s="20">
        <f>100000-E10-E23</f>
        <v>99265.504993925671</v>
      </c>
      <c r="F17" s="21" t="s">
        <v>51</v>
      </c>
      <c r="K17">
        <v>0.12845034473586972</v>
      </c>
      <c r="L17">
        <v>0.7219348355391797</v>
      </c>
      <c r="M17">
        <v>0.42383107253451702</v>
      </c>
      <c r="O17">
        <f t="shared" si="1"/>
        <v>0.62079507976687753</v>
      </c>
      <c r="P17">
        <f t="shared" si="2"/>
        <v>0.94343889402810954</v>
      </c>
      <c r="Q17">
        <f t="shared" si="3"/>
        <v>0.47920014403770689</v>
      </c>
      <c r="S17">
        <v>2.8387134099799502E-3</v>
      </c>
      <c r="T17">
        <v>2.8573076026217406E-3</v>
      </c>
      <c r="U17">
        <v>0.10734427412105409</v>
      </c>
      <c r="W17">
        <f t="shared" si="7"/>
        <v>0.62080157003392622</v>
      </c>
      <c r="X17">
        <f t="shared" si="4"/>
        <v>0.84353576851362633</v>
      </c>
      <c r="Y17">
        <f t="shared" si="5"/>
        <v>0.49107593224707624</v>
      </c>
      <c r="Z17">
        <f>0.00000776/(60/Test!G17)*100</f>
        <v>2.4983415059999996E-2</v>
      </c>
      <c r="AB17">
        <f t="shared" si="6"/>
        <v>1.1570336746952776</v>
      </c>
    </row>
    <row r="18" spans="1:28">
      <c r="A18" s="22" t="s">
        <v>61</v>
      </c>
      <c r="B18" s="23"/>
      <c r="C18" s="23"/>
      <c r="D18" s="23"/>
      <c r="E18" s="24">
        <f>1-(0.351+0.256*E13^4+0.93*E13^8)*(1-(E17/E16)^(1/1.4))</f>
        <v>0.99746201615938335</v>
      </c>
      <c r="F18" s="25"/>
      <c r="K18">
        <v>0.13063629867092519</v>
      </c>
      <c r="L18">
        <v>0.3464501689440182</v>
      </c>
      <c r="M18">
        <v>0.40684429642807796</v>
      </c>
      <c r="O18">
        <f t="shared" si="1"/>
        <v>0.62125106239783545</v>
      </c>
      <c r="P18">
        <f t="shared" si="2"/>
        <v>0.69922439857411922</v>
      </c>
      <c r="Q18">
        <f t="shared" si="3"/>
        <v>0.46424377382584009</v>
      </c>
      <c r="S18">
        <v>2.8387134099799502E-3</v>
      </c>
      <c r="T18">
        <v>3.4895101524426023E-3</v>
      </c>
      <c r="U18">
        <v>9.3671344465124429E-2</v>
      </c>
      <c r="W18">
        <f t="shared" si="7"/>
        <v>0.62125754790124144</v>
      </c>
      <c r="X18">
        <f t="shared" si="4"/>
        <v>0.78183505833093159</v>
      </c>
      <c r="Y18">
        <f t="shared" si="5"/>
        <v>0.47359962237100839</v>
      </c>
      <c r="Z18">
        <f>0.00000776/(60/Test!G18)*100</f>
        <v>2.4932243162666665E-2</v>
      </c>
      <c r="AB18">
        <f t="shared" si="6"/>
        <v>1.105506769910831</v>
      </c>
    </row>
    <row r="19" spans="1:28">
      <c r="A19" t="s">
        <v>62</v>
      </c>
      <c r="C19" t="s">
        <v>6</v>
      </c>
      <c r="E19" s="26">
        <f>0.5961+0.0261*E13^2-0.216*E13^8+0.000521*(1000000*E13/E8)^0.7+(0.0188+0.0063*((19000*E13/E8)^0.8))*E13^3.5*(1000000/E8)^0.3+(0.043+0.08*EXP(-10*E14/E12)-0.123*EXP(-7*E14/E12))*(1-0.11*(19000*E13/E8)^0.8)*(E13^4/(1-E13^4))-0.031*(2*(E15/E12)/(1-E13)-0.8*((2*(E15/E12)/(1-E13))^1.1))*E13^1.3</f>
        <v>0.65591154544352426</v>
      </c>
      <c r="K19">
        <v>0.13837765727201978</v>
      </c>
      <c r="L19">
        <v>0.20311517447832877</v>
      </c>
      <c r="M19">
        <v>0.40078532201484596</v>
      </c>
      <c r="O19">
        <f t="shared" si="1"/>
        <v>0.62292488795367018</v>
      </c>
      <c r="P19">
        <f t="shared" si="2"/>
        <v>0.64042393311256096</v>
      </c>
      <c r="Q19">
        <f t="shared" si="3"/>
        <v>0.45894321472546445</v>
      </c>
      <c r="S19">
        <v>2.6837618046316996E-3</v>
      </c>
      <c r="T19">
        <v>4.8220939584375571E-3</v>
      </c>
      <c r="U19">
        <v>8.7020821563577516E-2</v>
      </c>
      <c r="W19">
        <f t="shared" si="7"/>
        <v>0.62293066918359108</v>
      </c>
      <c r="X19">
        <f t="shared" si="4"/>
        <v>0.76914507602914362</v>
      </c>
      <c r="Y19">
        <f t="shared" si="5"/>
        <v>0.46712043171771428</v>
      </c>
      <c r="Z19">
        <f>0.00000776/(60/Test!G19)*100</f>
        <v>2.4902086250666665E-2</v>
      </c>
      <c r="AB19">
        <f t="shared" si="6"/>
        <v>1.0947366707191155</v>
      </c>
    </row>
    <row r="20" spans="1:28">
      <c r="A20" t="s">
        <v>63</v>
      </c>
      <c r="E20" s="27">
        <f>+E19*((PI()/4)*E9^2*(2*E10*E11)^0.5)/((1-E13^4)^0.5)</f>
        <v>0.96339995990915284</v>
      </c>
      <c r="F20" t="s">
        <v>64</v>
      </c>
      <c r="K20">
        <v>0.1497327822917468</v>
      </c>
      <c r="L20">
        <v>0.14364220846128015</v>
      </c>
      <c r="M20">
        <v>0.3993981297184932</v>
      </c>
      <c r="O20">
        <f t="shared" si="1"/>
        <v>0.6255453189760336</v>
      </c>
      <c r="P20">
        <f t="shared" si="2"/>
        <v>0.62411547333136508</v>
      </c>
      <c r="Q20">
        <f t="shared" si="3"/>
        <v>0.45773230825738132</v>
      </c>
      <c r="S20">
        <v>2.8573076026217406E-3</v>
      </c>
      <c r="T20">
        <v>6.2476487276414625E-3</v>
      </c>
      <c r="U20">
        <v>8.9512443377577383E-2</v>
      </c>
      <c r="W20">
        <f t="shared" si="7"/>
        <v>0.62555184461366875</v>
      </c>
      <c r="X20">
        <f t="shared" si="4"/>
        <v>0.76579648470819262</v>
      </c>
      <c r="Y20">
        <f t="shared" si="5"/>
        <v>0.4664025552482044</v>
      </c>
      <c r="Z20">
        <f>0.00000776/(60/Test!G20)*100</f>
        <v>2.4894872813333333E-2</v>
      </c>
      <c r="AB20">
        <f t="shared" si="6"/>
        <v>1.0935769129445971</v>
      </c>
    </row>
    <row r="21" spans="1:28">
      <c r="E21" s="26">
        <f>+E20/1.2</f>
        <v>0.80283329992429409</v>
      </c>
      <c r="F21" t="s">
        <v>38</v>
      </c>
      <c r="K21">
        <v>0.15501421506460675</v>
      </c>
      <c r="L21">
        <v>0.13124283684741256</v>
      </c>
      <c r="M21">
        <v>0.39962647942719598</v>
      </c>
      <c r="O21">
        <f t="shared" si="1"/>
        <v>0.62683047698089489</v>
      </c>
      <c r="P21">
        <f t="shared" si="2"/>
        <v>0.62137888781624739</v>
      </c>
      <c r="Q21">
        <f t="shared" si="3"/>
        <v>0.45793157028029319</v>
      </c>
      <c r="S21">
        <v>4.0535339959102351E-3</v>
      </c>
      <c r="T21">
        <v>8.3921789456612508E-3</v>
      </c>
      <c r="U21">
        <v>8.8229444085293873E-2</v>
      </c>
      <c r="W21">
        <f t="shared" si="7"/>
        <v>0.62684358336825319</v>
      </c>
      <c r="X21">
        <f t="shared" si="4"/>
        <v>0.76526044657181103</v>
      </c>
      <c r="Y21">
        <f t="shared" si="5"/>
        <v>0.46635368323084475</v>
      </c>
      <c r="Z21">
        <f>0.00000776/(60/Test!G21)*100</f>
        <v>2.4894843842666665E-2</v>
      </c>
      <c r="AB21">
        <f t="shared" si="6"/>
        <v>1.0939204451010893</v>
      </c>
    </row>
    <row r="22" spans="1:28">
      <c r="E22" s="28">
        <f>+E21*3600</f>
        <v>2890.1998797274587</v>
      </c>
      <c r="F22" t="s">
        <v>65</v>
      </c>
      <c r="K22">
        <v>0.16781830042725188</v>
      </c>
      <c r="L22">
        <v>0.11590245980656626</v>
      </c>
      <c r="M22">
        <v>0.40131984250334635</v>
      </c>
      <c r="O22">
        <f t="shared" si="1"/>
        <v>0.63011905379721012</v>
      </c>
      <c r="P22">
        <f t="shared" si="2"/>
        <v>0.61832064512614549</v>
      </c>
      <c r="Q22">
        <f t="shared" si="3"/>
        <v>0.45941007388487981</v>
      </c>
      <c r="S22">
        <v>3.4957082166565336E-3</v>
      </c>
      <c r="T22">
        <v>7.4190828640742371E-3</v>
      </c>
      <c r="U22">
        <v>9.9088452588099299E-2</v>
      </c>
      <c r="W22">
        <f t="shared" si="7"/>
        <v>0.630128750283803</v>
      </c>
      <c r="X22">
        <f t="shared" si="4"/>
        <v>0.76463085191596858</v>
      </c>
      <c r="Y22">
        <f t="shared" si="5"/>
        <v>0.46997461359440973</v>
      </c>
      <c r="Z22">
        <f>0.00000776/(60/Test!G22)*100</f>
        <v>2.490344851866667E-2</v>
      </c>
      <c r="AB22">
        <f t="shared" si="6"/>
        <v>1.0969133515493847</v>
      </c>
    </row>
    <row r="23" spans="1:28">
      <c r="A23" t="s">
        <v>66</v>
      </c>
      <c r="E23" s="29">
        <f>+E10*(1-B32^1.9)</f>
        <v>234.49500607433242</v>
      </c>
      <c r="F23" t="s">
        <v>51</v>
      </c>
    </row>
    <row r="25" spans="1:28">
      <c r="A25" s="30" t="s">
        <v>67</v>
      </c>
      <c r="B25" s="17"/>
      <c r="C25" s="17"/>
      <c r="D25" s="17"/>
      <c r="E25" s="18"/>
      <c r="K25">
        <v>0.15444350378106761</v>
      </c>
      <c r="L25">
        <v>2.2694176888194666</v>
      </c>
      <c r="M25">
        <v>0.685312136373048</v>
      </c>
      <c r="S25">
        <v>3.3841430608057919E-3</v>
      </c>
      <c r="T25">
        <v>2.0453611905969075E-3</v>
      </c>
      <c r="U25">
        <v>0.13941305836392798</v>
      </c>
    </row>
    <row r="26" spans="1:28">
      <c r="A26" s="19" t="s">
        <v>68</v>
      </c>
      <c r="B26" s="12">
        <f>(1.667*E13-0.5)/100*B27</f>
        <v>4.5565081876052559E-3</v>
      </c>
      <c r="C26" s="31">
        <f>+B26/B27</f>
        <v>6.9468333333333335E-3</v>
      </c>
      <c r="D26" s="12"/>
      <c r="E26" s="21"/>
      <c r="K26">
        <v>0.15246268074203986</v>
      </c>
      <c r="L26">
        <v>2.0331103125195549</v>
      </c>
      <c r="M26">
        <v>0.5818017014894511</v>
      </c>
      <c r="O26">
        <f t="shared" si="1"/>
        <v>0.62620436681569791</v>
      </c>
      <c r="P26">
        <f t="shared" si="2"/>
        <v>2.1218917462663738</v>
      </c>
      <c r="Q26">
        <f t="shared" si="3"/>
        <v>0.62329224273692063</v>
      </c>
      <c r="S26">
        <v>2.9936650153282009E-3</v>
      </c>
      <c r="T26">
        <v>2.0639553832386979E-3</v>
      </c>
      <c r="U26">
        <v>0.13598552885362472</v>
      </c>
      <c r="W26">
        <f t="shared" ref="W23:W33" si="8">(O26^2+S26^2)^0.5</f>
        <v>0.62621152260979129</v>
      </c>
      <c r="X26">
        <f t="shared" ref="X23:X39" si="9">($B$53^2+  (2*$E$13^2/(1-$E$13^4))^2*$B$48^2 + (2/(1-$E$13^4))^2*$B$47^2 + 0.25*$B$46^2 + 0.25*$P26^2)^0.5</f>
        <v>1.2706814461470006</v>
      </c>
      <c r="Y26">
        <f t="shared" si="5"/>
        <v>0.63795398259876113</v>
      </c>
      <c r="Z26">
        <f>0.00000776/(60/Test!G26)*100</f>
        <v>2.3126981594666668E-2</v>
      </c>
      <c r="AB26">
        <f t="shared" si="6"/>
        <v>1.5537993273981059</v>
      </c>
    </row>
    <row r="27" spans="1:28">
      <c r="A27" s="19" t="s">
        <v>6</v>
      </c>
      <c r="B27" s="32">
        <f>+E19</f>
        <v>0.65591154544352426</v>
      </c>
      <c r="C27" s="12"/>
      <c r="D27" s="12">
        <f>+(B26/B27)^2</f>
        <v>4.8258493361111111E-5</v>
      </c>
      <c r="E27" s="33">
        <f>+D27/$D$41</f>
        <v>6.8614460501806342E-3</v>
      </c>
      <c r="K27">
        <v>0.15084327718896043</v>
      </c>
      <c r="L27">
        <v>1.5934701067441841</v>
      </c>
      <c r="M27">
        <v>0.51821564949432697</v>
      </c>
      <c r="O27">
        <f t="shared" si="1"/>
        <v>0.62581205986550426</v>
      </c>
      <c r="P27">
        <f t="shared" si="2"/>
        <v>1.7052958749399827</v>
      </c>
      <c r="Q27">
        <f t="shared" si="3"/>
        <v>0.56440008804112274</v>
      </c>
      <c r="S27">
        <v>2.9440805016167607E-3</v>
      </c>
      <c r="T27">
        <v>2.237501181228738E-3</v>
      </c>
      <c r="U27">
        <v>0.104958019398691</v>
      </c>
      <c r="W27">
        <f t="shared" si="8"/>
        <v>0.62581898491744836</v>
      </c>
      <c r="X27">
        <f t="shared" si="9"/>
        <v>1.1027391791061578</v>
      </c>
      <c r="Y27">
        <f t="shared" si="5"/>
        <v>0.57407634093117188</v>
      </c>
      <c r="Z27">
        <f>0.00000776/(60/Test!G27)*100</f>
        <v>2.3089871075999999E-2</v>
      </c>
      <c r="AB27">
        <f t="shared" si="6"/>
        <v>1.3920416252332608</v>
      </c>
    </row>
    <row r="28" spans="1:28">
      <c r="A28" s="19" t="s">
        <v>69</v>
      </c>
      <c r="B28" s="12">
        <f>0.1/1000</f>
        <v>1E-4</v>
      </c>
      <c r="C28" s="31">
        <f>+B28/B29</f>
        <v>3.3333333333333338E-4</v>
      </c>
      <c r="D28" s="12"/>
      <c r="E28" s="21"/>
      <c r="K28">
        <v>0.14830057432072377</v>
      </c>
      <c r="L28">
        <v>0.89665533968416089</v>
      </c>
      <c r="M28">
        <v>0.46240666553706405</v>
      </c>
      <c r="O28">
        <f t="shared" si="1"/>
        <v>0.62520404696695342</v>
      </c>
      <c r="P28">
        <f t="shared" si="2"/>
        <v>1.0829948467948118</v>
      </c>
      <c r="Q28">
        <f t="shared" si="3"/>
        <v>0.51363403735841562</v>
      </c>
      <c r="S28">
        <v>2.5598005203530992E-3</v>
      </c>
      <c r="T28">
        <v>2.5845927772088196E-3</v>
      </c>
      <c r="U28">
        <v>9.3243678034363259E-2</v>
      </c>
      <c r="W28">
        <f t="shared" si="8"/>
        <v>0.62520928729711023</v>
      </c>
      <c r="X28">
        <f t="shared" si="9"/>
        <v>0.88444595731447728</v>
      </c>
      <c r="Y28">
        <f t="shared" si="5"/>
        <v>0.52202902967793108</v>
      </c>
      <c r="Z28">
        <f>0.00000776/(60/Test!G28)*100</f>
        <v>2.3037310656000003E-2</v>
      </c>
      <c r="AB28">
        <f t="shared" si="6"/>
        <v>1.2025707171893161</v>
      </c>
    </row>
    <row r="29" spans="1:28">
      <c r="A29" s="19" t="s">
        <v>55</v>
      </c>
      <c r="B29" s="12">
        <f>+E12</f>
        <v>0.3</v>
      </c>
      <c r="C29" s="12"/>
      <c r="D29" s="12">
        <f>+(2*B32^4/(1-B32^4))^2*(B28/B29)^2</f>
        <v>5.7063606807607283E-8</v>
      </c>
      <c r="E29" s="33">
        <f>+D29/$D$41</f>
        <v>8.113366834917345E-6</v>
      </c>
      <c r="K29">
        <v>0.15346662310165679</v>
      </c>
      <c r="L29">
        <v>0.37092329156480913</v>
      </c>
      <c r="M29">
        <v>0.43078365115416928</v>
      </c>
      <c r="O29">
        <f t="shared" si="1"/>
        <v>0.62644955455824691</v>
      </c>
      <c r="P29">
        <f t="shared" si="2"/>
        <v>0.71166784964987173</v>
      </c>
      <c r="Q29">
        <f t="shared" si="3"/>
        <v>0.48536023127334715</v>
      </c>
      <c r="S29">
        <v>2.6961579330595595E-3</v>
      </c>
      <c r="T29">
        <v>3.2787759691689819E-3</v>
      </c>
      <c r="U29">
        <v>8.8421584075925722E-2</v>
      </c>
      <c r="W29">
        <f t="shared" si="8"/>
        <v>0.62645535648905259</v>
      </c>
      <c r="X29">
        <f t="shared" si="9"/>
        <v>0.78462919517451724</v>
      </c>
      <c r="Y29">
        <f t="shared" si="5"/>
        <v>0.49334869071703541</v>
      </c>
      <c r="Z29">
        <f>0.00000776/(60/Test!G29)*100</f>
        <v>2.2992828783999997E-2</v>
      </c>
      <c r="AB29">
        <f t="shared" si="6"/>
        <v>1.1189329239957773</v>
      </c>
    </row>
    <row r="30" spans="1:28">
      <c r="A30" s="19" t="s">
        <v>70</v>
      </c>
      <c r="B30" s="12">
        <f>2/100/1000</f>
        <v>2.0000000000000002E-5</v>
      </c>
      <c r="C30" s="31">
        <f>+B30/B31</f>
        <v>9.3023255813953496E-5</v>
      </c>
      <c r="D30" s="12"/>
      <c r="E30" s="21"/>
      <c r="K30">
        <v>0.16192666882158396</v>
      </c>
      <c r="L30">
        <v>0.24350249864422127</v>
      </c>
      <c r="M30">
        <v>0.42365832670337455</v>
      </c>
      <c r="O30">
        <f t="shared" si="1"/>
        <v>0.62857560092295572</v>
      </c>
      <c r="P30">
        <f t="shared" si="2"/>
        <v>0.65435503119176741</v>
      </c>
      <c r="Q30">
        <f t="shared" si="3"/>
        <v>0.47904736486604671</v>
      </c>
      <c r="S30">
        <v>2.8697037310496006E-3</v>
      </c>
      <c r="T30">
        <v>6.6133345162633361E-3</v>
      </c>
      <c r="U30">
        <v>8.873148728662221E-2</v>
      </c>
      <c r="W30">
        <f t="shared" si="8"/>
        <v>0.62858215157221797</v>
      </c>
      <c r="X30">
        <f t="shared" si="9"/>
        <v>0.77205590378895961</v>
      </c>
      <c r="Y30">
        <f t="shared" si="5"/>
        <v>0.48719570464157347</v>
      </c>
      <c r="Z30">
        <f>0.00000776/(60/Test!G30)*100</f>
        <v>2.2978540942666666E-2</v>
      </c>
      <c r="AB30">
        <f t="shared" si="6"/>
        <v>1.1086358770198623</v>
      </c>
    </row>
    <row r="31" spans="1:28">
      <c r="A31" s="19" t="s">
        <v>48</v>
      </c>
      <c r="B31" s="12">
        <f>+E9</f>
        <v>0.215</v>
      </c>
      <c r="C31" s="12"/>
      <c r="D31" s="12">
        <f>+(2/(1-B32^4))^2*(B30/B31)^2</f>
        <v>6.3862682668512011E-8</v>
      </c>
      <c r="E31" s="33">
        <f>+D31/$D$41</f>
        <v>9.0800669733074332E-6</v>
      </c>
      <c r="K31">
        <v>0.1722599625527434</v>
      </c>
      <c r="L31">
        <v>0.17877832355878504</v>
      </c>
      <c r="M31">
        <v>0.42140517649867459</v>
      </c>
      <c r="O31">
        <f t="shared" si="1"/>
        <v>0.63131650912887782</v>
      </c>
      <c r="P31">
        <f t="shared" si="2"/>
        <v>0.63312615565500818</v>
      </c>
      <c r="Q31">
        <f t="shared" si="3"/>
        <v>0.47705589062486076</v>
      </c>
      <c r="S31">
        <v>3.4647178955868833E-3</v>
      </c>
      <c r="T31">
        <v>6.638126773119056E-3</v>
      </c>
      <c r="U31">
        <v>8.7609637663900869E-2</v>
      </c>
      <c r="W31">
        <f t="shared" si="8"/>
        <v>0.63132601638833841</v>
      </c>
      <c r="X31">
        <f t="shared" si="9"/>
        <v>0.76761798709222218</v>
      </c>
      <c r="Y31">
        <f t="shared" si="5"/>
        <v>0.4850337837630273</v>
      </c>
      <c r="Z31">
        <f>0.00000776/(60/Test!G31)*100</f>
        <v>2.2972454257333335E-2</v>
      </c>
      <c r="AB31">
        <f t="shared" si="6"/>
        <v>1.1061624736549183</v>
      </c>
    </row>
    <row r="32" spans="1:28">
      <c r="A32" s="19" t="s">
        <v>71</v>
      </c>
      <c r="B32" s="12">
        <f>+B31/B29</f>
        <v>0.71666666666666667</v>
      </c>
      <c r="C32" s="12"/>
      <c r="D32" s="12"/>
      <c r="E32" s="21"/>
      <c r="K32">
        <v>0.18100619504207788</v>
      </c>
      <c r="L32">
        <v>0.15471663661111423</v>
      </c>
      <c r="M32">
        <v>0.42194131100086413</v>
      </c>
      <c r="O32">
        <f t="shared" si="1"/>
        <v>0.63375885212248573</v>
      </c>
      <c r="P32">
        <f t="shared" si="2"/>
        <v>0.6267569526094271</v>
      </c>
      <c r="Q32">
        <f t="shared" si="3"/>
        <v>0.47752954874973752</v>
      </c>
      <c r="S32">
        <v>4.1589010875470447E-3</v>
      </c>
      <c r="T32">
        <v>7.3571022219349374E-3</v>
      </c>
      <c r="U32">
        <v>8.7876154425099856E-2</v>
      </c>
      <c r="W32">
        <f t="shared" si="8"/>
        <v>0.63377249790588641</v>
      </c>
      <c r="X32">
        <f t="shared" si="9"/>
        <v>0.7663101599711154</v>
      </c>
      <c r="Y32">
        <f t="shared" si="5"/>
        <v>0.48554782302639554</v>
      </c>
      <c r="Z32">
        <f>0.00000776/(60/Test!G32)*100</f>
        <v>2.2973914947999999E-2</v>
      </c>
      <c r="AB32">
        <f t="shared" si="6"/>
        <v>1.106879997827467</v>
      </c>
    </row>
    <row r="33" spans="1:28">
      <c r="A33" s="19" t="s">
        <v>72</v>
      </c>
      <c r="B33" s="12">
        <v>0.29499999999999998</v>
      </c>
      <c r="C33" s="31">
        <f>+B33/B34</f>
        <v>5.8999999999999992E-4</v>
      </c>
      <c r="D33" s="12"/>
      <c r="E33" s="21"/>
      <c r="K33">
        <v>0.20298105355944526</v>
      </c>
      <c r="L33">
        <v>0.12959918783852914</v>
      </c>
      <c r="M33">
        <v>0.42591118512601428</v>
      </c>
      <c r="O33">
        <f t="shared" si="1"/>
        <v>0.6403814083060988</v>
      </c>
      <c r="P33">
        <f t="shared" si="2"/>
        <v>0.62103380704145761</v>
      </c>
      <c r="Q33">
        <f t="shared" si="3"/>
        <v>0.48104088975413101</v>
      </c>
      <c r="S33">
        <v>3.5266985377261826E-3</v>
      </c>
      <c r="T33">
        <v>6.2352525992136034E-3</v>
      </c>
      <c r="U33">
        <v>9.1942084549437961E-2</v>
      </c>
      <c r="W33">
        <f t="shared" si="8"/>
        <v>0.64039111932215176</v>
      </c>
      <c r="X33">
        <f t="shared" si="9"/>
        <v>0.76514439110274746</v>
      </c>
      <c r="Y33">
        <f t="shared" si="5"/>
        <v>0.48974859318505654</v>
      </c>
      <c r="Z33">
        <f>0.00000776/(60/Test!G33)*100</f>
        <v>2.2979990769333332E-2</v>
      </c>
      <c r="AB33">
        <f t="shared" si="6"/>
        <v>1.1117232072081491</v>
      </c>
    </row>
    <row r="34" spans="1:28">
      <c r="A34" s="19" t="s">
        <v>73</v>
      </c>
      <c r="B34" s="12">
        <f>+E10</f>
        <v>500</v>
      </c>
      <c r="C34" s="12"/>
      <c r="D34" s="12">
        <f>+(1/4)*(B33/B34)^2</f>
        <v>8.7024999999999974E-8</v>
      </c>
      <c r="E34" s="33">
        <f>+D34/$D$41</f>
        <v>1.2373310912316087E-5</v>
      </c>
    </row>
    <row r="35" spans="1:28">
      <c r="A35" s="19" t="s">
        <v>74</v>
      </c>
      <c r="B35" s="12">
        <f>+B36/500*1</f>
        <v>2.4100000000000002E-3</v>
      </c>
      <c r="C35" s="31">
        <f>+B35/B36</f>
        <v>2E-3</v>
      </c>
      <c r="D35" s="12"/>
      <c r="E35" s="21"/>
    </row>
    <row r="36" spans="1:28">
      <c r="A36" s="19" t="s">
        <v>52</v>
      </c>
      <c r="B36" s="12">
        <f>E11</f>
        <v>1.2050000000000001</v>
      </c>
      <c r="C36" s="12"/>
      <c r="D36" s="12">
        <f>+(1/4)*(B35/B36)^2</f>
        <v>9.9999999999999995E-7</v>
      </c>
      <c r="E36" s="33">
        <f>+D36/$D$41</f>
        <v>1.4218110786918804E-4</v>
      </c>
      <c r="K36">
        <v>0.19303781877758916</v>
      </c>
      <c r="L36">
        <v>2.2680971867214428</v>
      </c>
      <c r="M36">
        <v>0.76016997469392611</v>
      </c>
      <c r="O36">
        <f t="shared" si="1"/>
        <v>0.63729948962666627</v>
      </c>
      <c r="P36">
        <f t="shared" si="2"/>
        <v>2.3480101976809475</v>
      </c>
      <c r="Q36">
        <f t="shared" si="3"/>
        <v>0.79237515762810506</v>
      </c>
      <c r="S36">
        <v>3.8242056199948239E-3</v>
      </c>
      <c r="T36">
        <v>2.1569263464476479E-3</v>
      </c>
      <c r="U36">
        <v>0.12088084636427722</v>
      </c>
      <c r="W36">
        <f t="shared" ref="W33:W44" si="10">(O36^2+S36^2)^0.5</f>
        <v>0.63731096336641913</v>
      </c>
      <c r="X36">
        <f t="shared" si="9"/>
        <v>1.3664966754322247</v>
      </c>
      <c r="Y36">
        <f t="shared" si="5"/>
        <v>0.80154261860733789</v>
      </c>
      <c r="Z36">
        <f>0.00000776/(60/Test!G36)*100</f>
        <v>2.0785203973333333E-2</v>
      </c>
      <c r="AB36">
        <f t="shared" si="6"/>
        <v>1.7077414974586984</v>
      </c>
    </row>
    <row r="37" spans="1:28">
      <c r="A37" s="19" t="s">
        <v>75</v>
      </c>
      <c r="B37" s="12">
        <f>0.035*100/1.4/100000</f>
        <v>2.5000000000000005E-5</v>
      </c>
      <c r="C37" s="31">
        <f>+B37/B38</f>
        <v>2.5063611039806535E-5</v>
      </c>
      <c r="D37" s="12"/>
      <c r="E37" s="21"/>
      <c r="K37">
        <v>0.18874474387480158</v>
      </c>
      <c r="L37">
        <v>2.0565724755131498</v>
      </c>
      <c r="M37">
        <v>0.65426110914491897</v>
      </c>
      <c r="O37">
        <f t="shared" si="1"/>
        <v>0.63601227845094654</v>
      </c>
      <c r="P37">
        <f t="shared" si="2"/>
        <v>2.1443827519914174</v>
      </c>
      <c r="Q37">
        <f t="shared" si="3"/>
        <v>0.69141709476953173</v>
      </c>
      <c r="S37">
        <v>3.4771140240147432E-3</v>
      </c>
      <c r="T37">
        <v>2.1383321538058575E-3</v>
      </c>
      <c r="U37">
        <v>8.1907418587085251E-2</v>
      </c>
      <c r="W37">
        <f t="shared" si="10"/>
        <v>0.63602178316650471</v>
      </c>
      <c r="X37">
        <f t="shared" si="9"/>
        <v>1.2800857544022055</v>
      </c>
      <c r="Y37">
        <f t="shared" si="5"/>
        <v>0.69625169598295389</v>
      </c>
      <c r="Z37">
        <f>0.00000776/(60/Test!G37)*100</f>
        <v>2.0755353581333333E-2</v>
      </c>
      <c r="AB37">
        <f t="shared" si="6"/>
        <v>1.5900756133427083</v>
      </c>
    </row>
    <row r="38" spans="1:28">
      <c r="A38" s="19" t="str">
        <f>+A18</f>
        <v>epsilon</v>
      </c>
      <c r="B38" s="32">
        <f>+E18</f>
        <v>0.99746201615938335</v>
      </c>
      <c r="C38" s="12"/>
      <c r="D38" s="12">
        <f>+(B37/B38)^2</f>
        <v>6.2818459835471203E-10</v>
      </c>
      <c r="E38" s="33">
        <f>+D38/$D$41</f>
        <v>8.9315982140433885E-8</v>
      </c>
      <c r="K38">
        <v>0.18587441408721037</v>
      </c>
      <c r="L38">
        <v>1.6768308078622405</v>
      </c>
      <c r="M38">
        <v>0.58660618662315533</v>
      </c>
      <c r="O38">
        <f t="shared" si="1"/>
        <v>0.6351663859275487</v>
      </c>
      <c r="P38">
        <f t="shared" si="2"/>
        <v>1.7834372986443718</v>
      </c>
      <c r="Q38">
        <f t="shared" si="3"/>
        <v>0.6277792750517972</v>
      </c>
      <c r="S38">
        <v>3.4523217671590229E-3</v>
      </c>
      <c r="T38">
        <v>2.1755205390894383E-3</v>
      </c>
      <c r="U38">
        <v>5.8113050069807888E-2</v>
      </c>
      <c r="W38">
        <f t="shared" si="10"/>
        <v>0.63517576806569676</v>
      </c>
      <c r="X38">
        <f t="shared" si="9"/>
        <v>1.1332198998486023</v>
      </c>
      <c r="Y38">
        <f t="shared" si="5"/>
        <v>0.63046327789410228</v>
      </c>
      <c r="Z38">
        <f>0.00000776/(60/Test!G38)*100</f>
        <v>2.0731226965333336E-2</v>
      </c>
      <c r="AB38">
        <f t="shared" si="6"/>
        <v>1.4441431114315464</v>
      </c>
    </row>
    <row r="39" spans="1:28">
      <c r="A39" s="19"/>
      <c r="B39" s="12"/>
      <c r="C39" s="12"/>
      <c r="D39" s="12"/>
      <c r="E39" s="21"/>
      <c r="K39">
        <v>0.18129046040895266</v>
      </c>
      <c r="L39">
        <v>1.054462006988395</v>
      </c>
      <c r="M39">
        <v>0.52243058833087908</v>
      </c>
      <c r="O39">
        <f t="shared" si="1"/>
        <v>0.63384009894869386</v>
      </c>
      <c r="P39">
        <f t="shared" si="2"/>
        <v>1.2168718766501236</v>
      </c>
      <c r="Q39">
        <f t="shared" si="3"/>
        <v>0.56827257511140594</v>
      </c>
      <c r="S39">
        <v>2.6031869698506095E-3</v>
      </c>
      <c r="T39">
        <v>2.3180760160098285E-3</v>
      </c>
      <c r="U39">
        <v>5.4914848935419994E-2</v>
      </c>
      <c r="W39">
        <f t="shared" si="10"/>
        <v>0.63384544458226566</v>
      </c>
      <c r="X39">
        <f t="shared" si="9"/>
        <v>0.92694092741090628</v>
      </c>
      <c r="Y39">
        <f t="shared" si="5"/>
        <v>0.57091974940209289</v>
      </c>
      <c r="Z39">
        <f>0.00000776/(60/Test!G39)*100</f>
        <v>2.0698826766666664E-2</v>
      </c>
      <c r="AB39">
        <f t="shared" si="6"/>
        <v>1.2599036995794346</v>
      </c>
    </row>
    <row r="40" spans="1:28">
      <c r="A40" s="19"/>
      <c r="B40" s="12"/>
      <c r="C40" s="12"/>
      <c r="D40" s="12"/>
      <c r="E40" s="21"/>
      <c r="K40">
        <v>0.1884913204960123</v>
      </c>
      <c r="L40">
        <v>0.52467492294180229</v>
      </c>
      <c r="M40">
        <v>0.48482278666496609</v>
      </c>
      <c r="O40">
        <f t="shared" si="1"/>
        <v>0.63593711788378138</v>
      </c>
      <c r="P40">
        <f t="shared" si="2"/>
        <v>0.80260252601395798</v>
      </c>
      <c r="Q40">
        <f t="shared" si="3"/>
        <v>0.53390367527259375</v>
      </c>
      <c r="S40">
        <v>2.962674694258551E-3</v>
      </c>
      <c r="T40">
        <v>3.3097662902386322E-3</v>
      </c>
      <c r="U40">
        <v>5.2664951625763401E-2</v>
      </c>
      <c r="W40">
        <f t="shared" si="10"/>
        <v>0.63594401903286613</v>
      </c>
      <c r="X40">
        <f>($B$53^2+  (2*$E$13^2/(1-$E$13^4))^2*$B$48^2 + (2/(1-$E$13^4))^2*$B$47^2 + 0.25*$B$46^2 + 0.25*$P40^2)^0.5</f>
        <v>0.8062678807659952</v>
      </c>
      <c r="Y40">
        <f t="shared" si="5"/>
        <v>0.53649485701106892</v>
      </c>
      <c r="Z40">
        <f>0.00000776/(60/Test!G40)*100</f>
        <v>2.0673669622666667E-2</v>
      </c>
      <c r="AB40">
        <f t="shared" si="6"/>
        <v>1.158769529765759</v>
      </c>
    </row>
    <row r="41" spans="1:28">
      <c r="A41" s="34" t="s">
        <v>76</v>
      </c>
      <c r="B41" s="23"/>
      <c r="C41" s="23"/>
      <c r="D41" s="35">
        <f>+(D27+D29+D31+D34+D36+D38)^0.5</f>
        <v>7.0332832187525044E-3</v>
      </c>
      <c r="E41" s="36"/>
      <c r="K41">
        <v>0.20747939700150128</v>
      </c>
      <c r="L41">
        <v>0.31660908415626304</v>
      </c>
      <c r="M41">
        <v>0.4709446781164619</v>
      </c>
      <c r="O41">
        <f t="shared" si="1"/>
        <v>0.64182142390240182</v>
      </c>
      <c r="P41">
        <f t="shared" si="2"/>
        <v>0.68492945050586607</v>
      </c>
      <c r="Q41">
        <f t="shared" si="3"/>
        <v>0.52133376050877223</v>
      </c>
      <c r="S41">
        <v>2.8449114741938807E-3</v>
      </c>
      <c r="T41">
        <v>4.1465049591191848E-3</v>
      </c>
      <c r="U41">
        <v>5.4964433449131447E-2</v>
      </c>
      <c r="W41">
        <f t="shared" si="10"/>
        <v>0.64182772899073359</v>
      </c>
      <c r="X41">
        <f>($B$53^2+  (2*$E$13^2/(1-$E$13^4))^2*$B$48^2 + (2/(1-$E$13^4))^2*$B$47^2 + 0.25*$B$46^2 + 0.25*$P41^2)^0.5</f>
        <v>0.778657357190221</v>
      </c>
      <c r="Y41">
        <f t="shared" si="5"/>
        <v>0.52422321466203869</v>
      </c>
      <c r="Z41">
        <f>0.00000776/(60/Test!G41)*100</f>
        <v>2.0662392402666666E-2</v>
      </c>
      <c r="AB41">
        <f t="shared" si="6"/>
        <v>1.1373157111630288</v>
      </c>
    </row>
    <row r="42" spans="1:28">
      <c r="K42">
        <v>0.23039870960960579</v>
      </c>
      <c r="L42">
        <v>0.23154385493701019</v>
      </c>
      <c r="M42">
        <v>0.46890357584009562</v>
      </c>
      <c r="O42">
        <f t="shared" si="1"/>
        <v>0.64959264573251707</v>
      </c>
      <c r="P42">
        <f t="shared" si="2"/>
        <v>0.64999968981461154</v>
      </c>
      <c r="Q42">
        <f t="shared" si="3"/>
        <v>0.51949067694774687</v>
      </c>
      <c r="S42">
        <v>3.1920030701739622E-3</v>
      </c>
      <c r="T42">
        <v>4.8344900868654171E-3</v>
      </c>
      <c r="U42">
        <v>5.4164883165534465E-2</v>
      </c>
      <c r="W42">
        <f t="shared" si="10"/>
        <v>0.64960048820284255</v>
      </c>
      <c r="X42">
        <f t="shared" ref="X42:X44" si="11">($B$53^2+  (2*$E$13^2/(1-$E$13^4))^2*$B$48^2 + (2/(1-$E$13^4))^2*$B$47^2 + 0.25*$B$46^2 + 0.25*$P42^2)^0.5</f>
        <v>0.77113558538927862</v>
      </c>
      <c r="Y42">
        <f t="shared" si="5"/>
        <v>0.52230680447794697</v>
      </c>
      <c r="Z42">
        <f>0.00000776/(60/Test!G42)*100</f>
        <v>2.0660370793333337E-2</v>
      </c>
      <c r="AB42">
        <f t="shared" si="6"/>
        <v>1.1357209755271402</v>
      </c>
    </row>
    <row r="43" spans="1:28">
      <c r="A43" t="s">
        <v>77</v>
      </c>
      <c r="K43">
        <v>0.24629266125157348</v>
      </c>
      <c r="L43">
        <v>0.20366682431261776</v>
      </c>
      <c r="M43">
        <v>0.46939791031039868</v>
      </c>
      <c r="O43">
        <f t="shared" si="1"/>
        <v>0.65539843987179458</v>
      </c>
      <c r="P43">
        <f t="shared" si="2"/>
        <v>0.64059910656009089</v>
      </c>
      <c r="Q43">
        <f t="shared" si="3"/>
        <v>0.51993691752343296</v>
      </c>
      <c r="S43">
        <v>2.8263172815520903E-3</v>
      </c>
      <c r="T43">
        <v>4.7539152520843274E-3</v>
      </c>
      <c r="U43">
        <v>5.4983027641773236E-2</v>
      </c>
      <c r="W43">
        <f t="shared" si="10"/>
        <v>0.65540453389929976</v>
      </c>
      <c r="X43">
        <f t="shared" si="11"/>
        <v>0.76916642912655075</v>
      </c>
      <c r="Y43">
        <f t="shared" si="5"/>
        <v>0.52283604651212134</v>
      </c>
      <c r="Z43">
        <f>0.00000776/(60/Test!G43)*100</f>
        <v>2.0659889544000005E-2</v>
      </c>
      <c r="AB43">
        <f t="shared" si="6"/>
        <v>1.137961537715332</v>
      </c>
    </row>
    <row r="44" spans="1:28">
      <c r="A44" s="5" t="s">
        <v>78</v>
      </c>
      <c r="B44" s="2">
        <v>0.2</v>
      </c>
      <c r="K44">
        <v>0.28216689911058235</v>
      </c>
      <c r="L44">
        <v>0.16299803911227911</v>
      </c>
      <c r="M44">
        <v>0.47474828876061925</v>
      </c>
      <c r="O44">
        <f t="shared" si="1"/>
        <v>0.66970530754480484</v>
      </c>
      <c r="P44">
        <f t="shared" si="2"/>
        <v>0.62885244752203051</v>
      </c>
      <c r="Q44">
        <f t="shared" si="3"/>
        <v>0.52477227221065748</v>
      </c>
      <c r="S44">
        <v>2.6775637404177701E-3</v>
      </c>
      <c r="T44">
        <v>4.3448430139649457E-3</v>
      </c>
      <c r="U44">
        <v>5.4747501201643893E-2</v>
      </c>
      <c r="W44">
        <f t="shared" si="10"/>
        <v>0.66971066013709657</v>
      </c>
      <c r="X44">
        <f t="shared" si="11"/>
        <v>0.76673922689041063</v>
      </c>
      <c r="Y44">
        <f t="shared" si="5"/>
        <v>0.52762034320992635</v>
      </c>
      <c r="Z44">
        <f>0.00000776/(60/Test!G44)*100</f>
        <v>2.0664541405333331E-2</v>
      </c>
      <c r="AB44">
        <f t="shared" si="6"/>
        <v>1.1468267786349529</v>
      </c>
    </row>
    <row r="45" spans="1:28">
      <c r="A45" s="37" t="s">
        <v>79</v>
      </c>
      <c r="B45" s="2">
        <v>9.7999999999999997E-3</v>
      </c>
    </row>
    <row r="46" spans="1:28">
      <c r="A46" s="37" t="s">
        <v>80</v>
      </c>
      <c r="B46" s="2">
        <f>(B45^2+B44^2)^0.5</f>
        <v>0.2002399560527319</v>
      </c>
    </row>
    <row r="47" spans="1:28">
      <c r="A47" s="37" t="s">
        <v>81</v>
      </c>
      <c r="B47" s="2">
        <f>0.01</f>
        <v>0.01</v>
      </c>
      <c r="K47">
        <v>0.24744737445806655</v>
      </c>
      <c r="L47">
        <v>2.2699117591896871</v>
      </c>
      <c r="M47">
        <v>0.80600991664987509</v>
      </c>
      <c r="O47">
        <f t="shared" si="1"/>
        <v>0.65583324338294302</v>
      </c>
      <c r="P47">
        <f t="shared" si="2"/>
        <v>2.3497630592269552</v>
      </c>
      <c r="Q47">
        <f t="shared" si="3"/>
        <v>0.83645202237662064</v>
      </c>
      <c r="S47">
        <v>2.9316843731889007E-3</v>
      </c>
      <c r="T47">
        <v>1.6114966956218061E-3</v>
      </c>
      <c r="U47">
        <v>0.13112624650990357</v>
      </c>
      <c r="W47">
        <f t="shared" ref="W43:W66" si="12">(O47^2+S47^2)^0.5</f>
        <v>0.65583979591014041</v>
      </c>
      <c r="X47">
        <f t="shared" ref="X43:X66" si="13">($B$53^2+  (2*$E$13^2/(1-$E$13^4))^2*$B$48^2 + (2/(1-$E$13^4))^2*$B$47^2 + 0.25*$B$46^2 + 0.25*$P47^2)^0.5</f>
        <v>1.3672497213350594</v>
      </c>
      <c r="Y47">
        <f t="shared" si="5"/>
        <v>0.84666763151883551</v>
      </c>
      <c r="Z47">
        <f>0.00000776/(60/Test!G47)*100</f>
        <v>1.9173533194666664E-2</v>
      </c>
      <c r="AB47">
        <f t="shared" si="6"/>
        <v>1.7368682566697837</v>
      </c>
    </row>
    <row r="48" spans="1:28">
      <c r="A48" s="37" t="s">
        <v>82</v>
      </c>
      <c r="B48" s="2">
        <f>0.1/300*100</f>
        <v>3.333333333333334E-2</v>
      </c>
      <c r="K48">
        <v>0.24005700694114829</v>
      </c>
      <c r="L48">
        <v>2.1028692452017346</v>
      </c>
      <c r="M48">
        <v>0.70950131506292902</v>
      </c>
      <c r="O48">
        <f t="shared" si="1"/>
        <v>0.65308070449335931</v>
      </c>
      <c r="P48">
        <f t="shared" si="2"/>
        <v>2.1888229947657516</v>
      </c>
      <c r="Q48">
        <f t="shared" si="3"/>
        <v>0.74390329753001205</v>
      </c>
      <c r="S48">
        <v>2.9254863089749712E-3</v>
      </c>
      <c r="T48">
        <v>1.580506374552156E-3</v>
      </c>
      <c r="U48">
        <v>8.4727537804423395E-2</v>
      </c>
      <c r="W48">
        <f t="shared" si="12"/>
        <v>0.65308725684374402</v>
      </c>
      <c r="X48">
        <f t="shared" si="13"/>
        <v>1.2987539095100815</v>
      </c>
      <c r="Y48">
        <f t="shared" si="5"/>
        <v>0.7487128099200826</v>
      </c>
      <c r="Z48">
        <f>0.00000776/(60/Test!G48)*100</f>
        <v>1.9152627237333332E-2</v>
      </c>
      <c r="AB48">
        <f t="shared" si="6"/>
        <v>1.6353049799312436</v>
      </c>
    </row>
    <row r="49" spans="1:28">
      <c r="A49" s="5" t="s">
        <v>83</v>
      </c>
      <c r="B49" s="2">
        <v>0.3448</v>
      </c>
      <c r="K49">
        <v>0.23612004333508024</v>
      </c>
      <c r="L49">
        <v>1.8314866407431369</v>
      </c>
      <c r="M49">
        <v>0.65061508950249369</v>
      </c>
      <c r="O49">
        <f t="shared" si="1"/>
        <v>0.65164385584808526</v>
      </c>
      <c r="P49">
        <f t="shared" si="2"/>
        <v>1.929567401056667</v>
      </c>
      <c r="Q49">
        <f t="shared" si="3"/>
        <v>0.68796801865227564</v>
      </c>
      <c r="S49">
        <v>2.8139211531242299E-3</v>
      </c>
      <c r="T49">
        <v>1.6362889524775262E-3</v>
      </c>
      <c r="U49">
        <v>6.7453532840200434E-2</v>
      </c>
      <c r="W49">
        <f t="shared" si="12"/>
        <v>0.65164993134106608</v>
      </c>
      <c r="X49">
        <f t="shared" si="13"/>
        <v>1.1915673630429116</v>
      </c>
      <c r="Y49">
        <f t="shared" si="5"/>
        <v>0.69126693381136195</v>
      </c>
      <c r="Z49">
        <f>0.00000776/(60/Test!G49)*100</f>
        <v>1.9136401336000003E-2</v>
      </c>
      <c r="AB49">
        <f t="shared" si="6"/>
        <v>1.524039562912626</v>
      </c>
    </row>
    <row r="50" spans="1:28">
      <c r="A50" s="5" t="s">
        <v>84</v>
      </c>
      <c r="B50" s="2">
        <v>0.3448</v>
      </c>
      <c r="K50">
        <v>0.22720179720118239</v>
      </c>
      <c r="L50">
        <v>1.2486703701693089</v>
      </c>
      <c r="M50">
        <v>0.57779464736594865</v>
      </c>
      <c r="O50">
        <f t="shared" si="1"/>
        <v>0.64846564801186435</v>
      </c>
      <c r="P50">
        <f t="shared" si="2"/>
        <v>1.3885477065404555</v>
      </c>
      <c r="Q50">
        <f t="shared" si="3"/>
        <v>0.61955359293990131</v>
      </c>
      <c r="S50">
        <v>2.3738585939351987E-3</v>
      </c>
      <c r="T50">
        <v>1.7664483009700569E-3</v>
      </c>
      <c r="U50">
        <v>5.643337466783286E-2</v>
      </c>
      <c r="W50">
        <f t="shared" si="12"/>
        <v>0.64846999302671759</v>
      </c>
      <c r="X50">
        <f t="shared" si="13"/>
        <v>0.98541431651797218</v>
      </c>
      <c r="Y50">
        <f t="shared" si="5"/>
        <v>0.62211846163021145</v>
      </c>
      <c r="Z50">
        <f>0.00000776/(60/Test!G50)*100</f>
        <v>1.9106975286666671E-2</v>
      </c>
      <c r="AB50">
        <f t="shared" si="6"/>
        <v>1.3337732805317399</v>
      </c>
    </row>
    <row r="51" spans="1:28">
      <c r="A51" s="37" t="s">
        <v>85</v>
      </c>
      <c r="B51" s="2">
        <v>0.5</v>
      </c>
      <c r="K51">
        <v>0.24034678902177348</v>
      </c>
      <c r="L51">
        <v>0.63008084653669694</v>
      </c>
      <c r="M51">
        <v>0.53116997282223888</v>
      </c>
      <c r="O51">
        <f t="shared" si="1"/>
        <v>0.65318727712125324</v>
      </c>
      <c r="P51">
        <f t="shared" si="2"/>
        <v>0.87515079453337685</v>
      </c>
      <c r="Q51">
        <f t="shared" si="3"/>
        <v>0.5763172216999749</v>
      </c>
      <c r="S51">
        <v>2.0391631263829775E-3</v>
      </c>
      <c r="T51">
        <v>2.7395443825570702E-3</v>
      </c>
      <c r="U51">
        <v>5.7586214611623845E-2</v>
      </c>
      <c r="W51">
        <f t="shared" si="12"/>
        <v>0.6531904601104741</v>
      </c>
      <c r="X51">
        <f t="shared" si="13"/>
        <v>0.8249226752593195</v>
      </c>
      <c r="Y51">
        <f t="shared" si="5"/>
        <v>0.57918711323826433</v>
      </c>
      <c r="Z51">
        <f>0.00000776/(60/Test!G51)*100</f>
        <v>1.9090355824E-2</v>
      </c>
      <c r="AB51">
        <f t="shared" si="6"/>
        <v>1.2012399223981389</v>
      </c>
    </row>
    <row r="52" spans="1:28">
      <c r="A52" s="37" t="s">
        <v>86</v>
      </c>
      <c r="B52" s="2">
        <v>0.5</v>
      </c>
      <c r="K52">
        <v>0.26754256387702424</v>
      </c>
      <c r="L52">
        <v>0.38861903205575477</v>
      </c>
      <c r="M52">
        <v>0.51662787524508758</v>
      </c>
      <c r="O52">
        <f t="shared" si="1"/>
        <v>0.66367617366144127</v>
      </c>
      <c r="P52">
        <f t="shared" si="2"/>
        <v>0.7210490913079024</v>
      </c>
      <c r="Q52">
        <f t="shared" si="3"/>
        <v>0.56294259163812943</v>
      </c>
      <c r="S52">
        <v>2.3862547223630591E-3</v>
      </c>
      <c r="T52">
        <v>2.7209501899152799E-3</v>
      </c>
      <c r="U52">
        <v>5.6513949502613944E-2</v>
      </c>
      <c r="W52">
        <f t="shared" si="12"/>
        <v>0.66368046354966004</v>
      </c>
      <c r="X52">
        <f t="shared" si="13"/>
        <v>0.78676752594580346</v>
      </c>
      <c r="Y52">
        <f t="shared" si="5"/>
        <v>0.56577220501597436</v>
      </c>
      <c r="Z52">
        <f>0.00000776/(60/Test!G52)*100</f>
        <v>1.9086040488E-2</v>
      </c>
      <c r="AB52">
        <f t="shared" si="6"/>
        <v>1.1747073518500339</v>
      </c>
    </row>
    <row r="53" spans="1:28">
      <c r="A53" s="37" t="s">
        <v>87</v>
      </c>
      <c r="B53" s="2">
        <v>0.69</v>
      </c>
      <c r="K53">
        <v>0.29371287114101763</v>
      </c>
      <c r="L53">
        <v>0.28946099755193283</v>
      </c>
      <c r="M53">
        <v>0.51246326866268355</v>
      </c>
      <c r="O53">
        <f t="shared" si="1"/>
        <v>0.67465123632429524</v>
      </c>
      <c r="P53">
        <f t="shared" si="2"/>
        <v>0.67281105007554687</v>
      </c>
      <c r="Q53">
        <f t="shared" si="3"/>
        <v>0.55912306492259978</v>
      </c>
      <c r="S53">
        <v>2.0949457043083482E-3</v>
      </c>
      <c r="T53">
        <v>4.3262488213231557E-3</v>
      </c>
      <c r="U53">
        <v>5.7933306207603924E-2</v>
      </c>
      <c r="W53">
        <f t="shared" si="12"/>
        <v>0.67465448895816593</v>
      </c>
      <c r="X53">
        <f t="shared" si="13"/>
        <v>0.77601151353561282</v>
      </c>
      <c r="Y53">
        <f t="shared" si="5"/>
        <v>0.56211642005601092</v>
      </c>
      <c r="Z53">
        <f>0.00000776/(60/Test!G53)*100</f>
        <v>1.9079393789333335E-2</v>
      </c>
      <c r="AB53">
        <f t="shared" si="6"/>
        <v>1.1720458359531809</v>
      </c>
    </row>
    <row r="54" spans="1:28">
      <c r="A54" s="37" t="s">
        <v>88</v>
      </c>
      <c r="B54" s="2">
        <v>0.2</v>
      </c>
      <c r="K54">
        <v>0.31131849658663246</v>
      </c>
      <c r="L54">
        <v>0.25033937786132859</v>
      </c>
      <c r="M54">
        <v>0.51325451342281969</v>
      </c>
      <c r="O54">
        <f t="shared" si="1"/>
        <v>0.682499997301803</v>
      </c>
      <c r="P54">
        <f t="shared" si="2"/>
        <v>0.65692986239628126</v>
      </c>
      <c r="Q54">
        <f t="shared" si="3"/>
        <v>0.55984836835423157</v>
      </c>
      <c r="S54">
        <v>2.7457424467709998E-3</v>
      </c>
      <c r="T54">
        <v>5.943943581158892E-3</v>
      </c>
      <c r="U54">
        <v>5.5782577925370211E-2</v>
      </c>
      <c r="W54">
        <f t="shared" si="12"/>
        <v>0.68250552043082047</v>
      </c>
      <c r="X54">
        <f t="shared" si="13"/>
        <v>0.77260235754940054</v>
      </c>
      <c r="Y54">
        <f t="shared" si="5"/>
        <v>0.56262055734650807</v>
      </c>
      <c r="Z54">
        <f>0.00000776/(60/Test!G54)*100</f>
        <v>1.9085911154666669E-2</v>
      </c>
      <c r="AB54">
        <f t="shared" si="6"/>
        <v>1.1745783719543519</v>
      </c>
    </row>
    <row r="55" spans="1:28">
      <c r="A55" s="37" t="s">
        <v>89</v>
      </c>
      <c r="B55" s="2">
        <v>0.1</v>
      </c>
      <c r="K55">
        <v>0.3516279453526146</v>
      </c>
      <c r="L55">
        <v>0.19943539549375014</v>
      </c>
      <c r="M55">
        <v>0.51874091537518419</v>
      </c>
      <c r="O55">
        <f t="shared" si="1"/>
        <v>0.70180428322496102</v>
      </c>
      <c r="P55">
        <f t="shared" si="2"/>
        <v>0.63926638968097527</v>
      </c>
      <c r="Q55">
        <f t="shared" si="3"/>
        <v>0.56488241013885709</v>
      </c>
      <c r="S55">
        <v>2.5536024561391697E-3</v>
      </c>
      <c r="T55">
        <v>4.5183888119549867E-3</v>
      </c>
      <c r="U55">
        <v>5.444379605516133E-2</v>
      </c>
      <c r="W55">
        <f t="shared" si="12"/>
        <v>0.70180892901017244</v>
      </c>
      <c r="X55">
        <f t="shared" si="13"/>
        <v>0.76888917999138839</v>
      </c>
      <c r="Y55">
        <f t="shared" si="5"/>
        <v>0.56750001252262539</v>
      </c>
      <c r="Z55">
        <f>0.00000776/(60/Test!G55)*100</f>
        <v>1.9086071398666665E-2</v>
      </c>
      <c r="AB55">
        <f t="shared" si="6"/>
        <v>1.1858106452047266</v>
      </c>
    </row>
    <row r="58" spans="1:28">
      <c r="K58">
        <v>0.32241017325931109</v>
      </c>
      <c r="L58">
        <v>2.2697858731119962</v>
      </c>
      <c r="M58">
        <v>0.86117483326430222</v>
      </c>
      <c r="O58">
        <f t="shared" si="1"/>
        <v>0.68763024934996786</v>
      </c>
      <c r="P58">
        <f t="shared" si="2"/>
        <v>2.3496414513237518</v>
      </c>
      <c r="Q58">
        <f t="shared" si="3"/>
        <v>0.88973147266340913</v>
      </c>
      <c r="S58">
        <v>2.4606314929302188E-3</v>
      </c>
      <c r="T58">
        <v>1.8780134568207969E-3</v>
      </c>
      <c r="U58">
        <v>0.12459348682842132</v>
      </c>
      <c r="W58">
        <f t="shared" si="12"/>
        <v>0.68763465192531048</v>
      </c>
      <c r="X58">
        <f t="shared" si="13"/>
        <v>1.3671974726821978</v>
      </c>
      <c r="Y58">
        <f t="shared" si="5"/>
        <v>0.89841283962767515</v>
      </c>
      <c r="Z58">
        <f>0.00000776/(60/Test!G58)*100</f>
        <v>1.7516557854666669E-2</v>
      </c>
      <c r="AB58">
        <f t="shared" si="6"/>
        <v>1.7746894951072343</v>
      </c>
    </row>
    <row r="59" spans="1:28">
      <c r="K59">
        <v>0.31491024989103933</v>
      </c>
      <c r="L59">
        <v>2.1542255312411767</v>
      </c>
      <c r="M59">
        <v>0.77885616101325661</v>
      </c>
      <c r="O59">
        <f t="shared" si="1"/>
        <v>0.68414582180002881</v>
      </c>
      <c r="P59">
        <f t="shared" si="2"/>
        <v>2.2382079169396505</v>
      </c>
      <c r="Q59">
        <f t="shared" si="3"/>
        <v>0.81031902331631578</v>
      </c>
      <c r="S59">
        <v>2.4296411718605689E-3</v>
      </c>
      <c r="T59">
        <v>1.8594192641790068E-3</v>
      </c>
      <c r="U59">
        <v>9.6665009480452618E-2</v>
      </c>
      <c r="W59">
        <f t="shared" si="12"/>
        <v>0.68415013603934971</v>
      </c>
      <c r="X59">
        <f t="shared" si="13"/>
        <v>1.3196283043822321</v>
      </c>
      <c r="Y59">
        <f t="shared" si="5"/>
        <v>0.81606436241644809</v>
      </c>
      <c r="Z59">
        <f>0.00000776/(60/Test!G59)*100</f>
        <v>1.7498787842666667E-2</v>
      </c>
      <c r="AB59">
        <f t="shared" si="6"/>
        <v>1.6958029135343271</v>
      </c>
    </row>
    <row r="60" spans="1:28">
      <c r="K60">
        <v>0.31056781385007814</v>
      </c>
      <c r="L60">
        <v>1.9513533850133218</v>
      </c>
      <c r="M60">
        <v>0.72545896265994625</v>
      </c>
      <c r="O60">
        <f t="shared" si="1"/>
        <v>0.68215790474025639</v>
      </c>
      <c r="P60">
        <f t="shared" si="2"/>
        <v>2.0436895735906053</v>
      </c>
      <c r="Q60">
        <f t="shared" si="3"/>
        <v>0.75913813400701013</v>
      </c>
      <c r="S60">
        <v>2.2003127959451586E-3</v>
      </c>
      <c r="T60">
        <v>1.8656173283929367E-3</v>
      </c>
      <c r="U60">
        <v>7.9087299369747094E-2</v>
      </c>
      <c r="W60">
        <f t="shared" si="12"/>
        <v>0.68216145330560618</v>
      </c>
      <c r="X60">
        <f t="shared" si="13"/>
        <v>1.2382212888513224</v>
      </c>
      <c r="Y60">
        <f t="shared" si="5"/>
        <v>0.76324668844695631</v>
      </c>
      <c r="Z60">
        <f>0.00000776/(60/Test!G60)*100</f>
        <v>1.7486406504000001E-2</v>
      </c>
      <c r="AB60">
        <f t="shared" si="6"/>
        <v>1.6066696892573518</v>
      </c>
    </row>
    <row r="61" spans="1:28">
      <c r="K61">
        <v>0.29954997360912461</v>
      </c>
      <c r="L61">
        <v>1.3740410420394065</v>
      </c>
      <c r="M61">
        <v>0.64144231809699848</v>
      </c>
      <c r="O61">
        <f t="shared" si="1"/>
        <v>0.67721283706765867</v>
      </c>
      <c r="P61">
        <f t="shared" si="2"/>
        <v>1.5022901934076314</v>
      </c>
      <c r="Q61">
        <f t="shared" si="3"/>
        <v>0.67929982146740697</v>
      </c>
      <c r="S61">
        <v>2.1321340895919276E-3</v>
      </c>
      <c r="T61">
        <v>2.1197379611640676E-3</v>
      </c>
      <c r="U61">
        <v>7.3509041577210069E-2</v>
      </c>
      <c r="W61">
        <f t="shared" si="12"/>
        <v>0.67721619346040685</v>
      </c>
      <c r="X61">
        <f t="shared" si="13"/>
        <v>1.0262768379760294</v>
      </c>
      <c r="Y61">
        <f t="shared" si="5"/>
        <v>0.68326556084676993</v>
      </c>
      <c r="Z61">
        <f>0.00000776/(60/Test!G61)*100</f>
        <v>1.7463486567999998E-2</v>
      </c>
      <c r="AB61">
        <f t="shared" si="6"/>
        <v>1.40677742406304</v>
      </c>
    </row>
    <row r="62" spans="1:28">
      <c r="K62">
        <v>0.31248795881486058</v>
      </c>
      <c r="L62">
        <v>0.81066538955290302</v>
      </c>
      <c r="M62">
        <v>0.5959425664135517</v>
      </c>
      <c r="O62">
        <f t="shared" si="1"/>
        <v>0.68303423369863248</v>
      </c>
      <c r="P62">
        <f t="shared" si="2"/>
        <v>1.0129488702886045</v>
      </c>
      <c r="Q62">
        <f t="shared" si="3"/>
        <v>0.63651201281953074</v>
      </c>
      <c r="S62">
        <v>2.0949457043083482E-3</v>
      </c>
      <c r="T62">
        <v>2.1755205390894383E-3</v>
      </c>
      <c r="U62">
        <v>6.6418456116474123E-2</v>
      </c>
      <c r="W62">
        <f t="shared" si="12"/>
        <v>0.68303744641255359</v>
      </c>
      <c r="X62">
        <f t="shared" si="13"/>
        <v>0.8634474768731637</v>
      </c>
      <c r="Y62">
        <f t="shared" si="5"/>
        <v>0.63996793183445255</v>
      </c>
      <c r="Z62">
        <f>0.00000776/(60/Test!G62)*100</f>
        <v>1.7448073785333335E-2</v>
      </c>
      <c r="AB62">
        <f t="shared" si="6"/>
        <v>1.2735560794781278</v>
      </c>
    </row>
    <row r="63" spans="1:28">
      <c r="K63">
        <v>0.34532086953712499</v>
      </c>
      <c r="L63">
        <v>0.48602718964792563</v>
      </c>
      <c r="M63">
        <v>0.57818547761567118</v>
      </c>
      <c r="O63">
        <f t="shared" si="1"/>
        <v>0.69866554440438533</v>
      </c>
      <c r="P63">
        <f t="shared" si="2"/>
        <v>0.77788782551024716</v>
      </c>
      <c r="Q63">
        <f t="shared" si="3"/>
        <v>0.61991809662701558</v>
      </c>
      <c r="S63">
        <v>2.0453611905969075E-3</v>
      </c>
      <c r="T63">
        <v>3.0122592079699908E-3</v>
      </c>
      <c r="U63">
        <v>6.3338018202150903E-2</v>
      </c>
      <c r="W63">
        <f t="shared" si="12"/>
        <v>0.69866853832148201</v>
      </c>
      <c r="X63">
        <f t="shared" si="13"/>
        <v>0.80018907711437659</v>
      </c>
      <c r="Y63">
        <f t="shared" si="5"/>
        <v>0.6231453691358364</v>
      </c>
      <c r="Z63">
        <f>0.00000776/(60/Test!G63)*100</f>
        <v>1.7440649146666664E-2</v>
      </c>
      <c r="AB63">
        <f t="shared" si="6"/>
        <v>1.2316877091582625</v>
      </c>
    </row>
    <row r="64" spans="1:28">
      <c r="K64">
        <v>0.37430893253845227</v>
      </c>
      <c r="L64">
        <v>0.36889556621275432</v>
      </c>
      <c r="M64">
        <v>0.57467448317035497</v>
      </c>
      <c r="O64">
        <f t="shared" si="1"/>
        <v>0.71343830635737215</v>
      </c>
      <c r="P64">
        <f t="shared" si="2"/>
        <v>0.71061310061905603</v>
      </c>
      <c r="Q64">
        <f t="shared" si="3"/>
        <v>0.61664476127436174</v>
      </c>
      <c r="S64">
        <v>2.1879166675172982E-3</v>
      </c>
      <c r="T64">
        <v>4.9336591142882984E-3</v>
      </c>
      <c r="U64">
        <v>6.4044597522538937E-2</v>
      </c>
      <c r="W64">
        <f t="shared" si="12"/>
        <v>0.71344166121514074</v>
      </c>
      <c r="X64">
        <f t="shared" si="13"/>
        <v>0.78439016857476596</v>
      </c>
      <c r="Y64">
        <f t="shared" si="5"/>
        <v>0.61996166984656287</v>
      </c>
      <c r="Z64">
        <f>0.00000776/(60/Test!G64)*100</f>
        <v>1.7440900053333337E-2</v>
      </c>
      <c r="AB64">
        <f t="shared" si="6"/>
        <v>1.2283825127328125</v>
      </c>
    </row>
    <row r="65" spans="11:28">
      <c r="K65">
        <v>0.39874328489439625</v>
      </c>
      <c r="L65">
        <v>0.32009616772226313</v>
      </c>
      <c r="M65">
        <v>0.5752002779993961</v>
      </c>
      <c r="O65">
        <f t="shared" si="1"/>
        <v>0.72655574269864087</v>
      </c>
      <c r="P65">
        <f t="shared" si="2"/>
        <v>0.68654832065228977</v>
      </c>
      <c r="Q65">
        <f t="shared" si="3"/>
        <v>0.61713479873572397</v>
      </c>
      <c r="S65">
        <v>2.4234431076466389E-3</v>
      </c>
      <c r="T65">
        <v>3.4399256387311629E-3</v>
      </c>
      <c r="U65">
        <v>6.4627215558648338E-2</v>
      </c>
      <c r="W65">
        <f t="shared" si="12"/>
        <v>0.72655978441203972</v>
      </c>
      <c r="X65">
        <f t="shared" si="13"/>
        <v>0.77901369757630856</v>
      </c>
      <c r="Y65">
        <f t="shared" si="5"/>
        <v>0.62050949775281161</v>
      </c>
      <c r="Z65">
        <f>0.00000776/(60/Test!G65)*100</f>
        <v>1.7440003902666666E-2</v>
      </c>
      <c r="AB65">
        <f t="shared" si="6"/>
        <v>1.2329183476102357</v>
      </c>
    </row>
    <row r="66" spans="11:28">
      <c r="K66">
        <v>0.45034095722873785</v>
      </c>
      <c r="L66">
        <v>0.2548018465978471</v>
      </c>
      <c r="M66">
        <v>0.58118040501331836</v>
      </c>
      <c r="O66">
        <f t="shared" si="1"/>
        <v>0.75610450187635825</v>
      </c>
      <c r="P66">
        <f t="shared" si="2"/>
        <v>0.65864331851896352</v>
      </c>
      <c r="Q66">
        <f t="shared" si="3"/>
        <v>0.62271234384059282</v>
      </c>
      <c r="S66">
        <v>2.1693224748755083E-3</v>
      </c>
      <c r="T66">
        <v>2.981268886900341E-3</v>
      </c>
      <c r="U66">
        <v>6.8110527646877028E-2</v>
      </c>
      <c r="W66">
        <f t="shared" si="12"/>
        <v>0.75610761384719294</v>
      </c>
      <c r="X66">
        <f t="shared" si="13"/>
        <v>0.77296697673400694</v>
      </c>
      <c r="Y66">
        <f t="shared" si="5"/>
        <v>0.62642613862113128</v>
      </c>
      <c r="Z66">
        <f>0.00000776/(60/Test!G66)*100</f>
        <v>1.7441828020000001E-2</v>
      </c>
      <c r="AB66">
        <f t="shared" si="6"/>
        <v>1.249756214368013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Test</vt:lpstr>
      <vt:lpstr>Usikkerhet</vt:lpstr>
      <vt:lpstr>Ark3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Lien, Kjell Erik</dc:creator>
  <cp:lastModifiedBy>Lien, Kjell Erik</cp:lastModifiedBy>
  <cp:lastPrinted>2010-05-08T13:19:57Z</cp:lastPrinted>
  <dcterms:created xsi:type="dcterms:W3CDTF">2010-05-05T17:43:23Z</dcterms:created>
  <dcterms:modified xsi:type="dcterms:W3CDTF">2010-05-21T12:46:09Z</dcterms:modified>
</cp:coreProperties>
</file>